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85" windowWidth="20115" windowHeight="6645" tabRatio="942" activeTab="2"/>
  </bookViews>
  <sheets>
    <sheet name="Report summary Table" sheetId="14" r:id="rId1"/>
    <sheet name="Sensitivity Analysis Summary" sheetId="13" r:id="rId2"/>
    <sheet name="Opt 1b - cost-benefit timing" sheetId="6" r:id="rId3"/>
    <sheet name="Option Costs" sheetId="4" r:id="rId4"/>
    <sheet name="Cost-Benefit (BASE)" sheetId="7" r:id="rId5"/>
    <sheet name="Cost-Benefit (VCR+20%)" sheetId="8" r:id="rId6"/>
    <sheet name="Cost-Benefit (VCR-20%)" sheetId="9" r:id="rId7"/>
    <sheet name="Cost-Benefit (Disc rate high)" sheetId="10" r:id="rId8"/>
    <sheet name="Cost-Benefit (Cost+30%)" sheetId="11" r:id="rId9"/>
    <sheet name="Cost-Benefit (Cost-30%)" sheetId="12" r:id="rId10"/>
  </sheets>
  <definedNames>
    <definedName name="_Ref415574418" localSheetId="0">'Report summary Table'!#REF!</definedName>
  </definedNames>
  <calcPr calcId="145621"/>
</workbook>
</file>

<file path=xl/calcChain.xml><?xml version="1.0" encoding="utf-8"?>
<calcChain xmlns="http://schemas.openxmlformats.org/spreadsheetml/2006/main">
  <c r="D11" i="6" l="1"/>
  <c r="J49" i="4" l="1"/>
  <c r="K49" i="4"/>
  <c r="L49" i="4" s="1"/>
  <c r="M49" i="4" s="1"/>
  <c r="N49" i="4" s="1"/>
  <c r="O49" i="4" s="1"/>
  <c r="P49" i="4" s="1"/>
  <c r="Q49" i="4" s="1"/>
  <c r="R49" i="4" s="1"/>
  <c r="S49" i="4" s="1"/>
  <c r="T49" i="4" s="1"/>
  <c r="J45" i="4"/>
  <c r="K45" i="4"/>
  <c r="L45" i="4" s="1"/>
  <c r="M45" i="4" s="1"/>
  <c r="N45" i="4" s="1"/>
  <c r="O45" i="4" s="1"/>
  <c r="P45" i="4" s="1"/>
  <c r="Q45" i="4" s="1"/>
  <c r="R45" i="4" s="1"/>
  <c r="S45" i="4" s="1"/>
  <c r="T45" i="4" s="1"/>
  <c r="K41" i="4"/>
  <c r="L41" i="4"/>
  <c r="M41" i="4" s="1"/>
  <c r="N41" i="4" s="1"/>
  <c r="O41" i="4" s="1"/>
  <c r="P41" i="4" s="1"/>
  <c r="Q41" i="4" s="1"/>
  <c r="R41" i="4" s="1"/>
  <c r="S41" i="4" s="1"/>
  <c r="T41" i="4" s="1"/>
  <c r="K37" i="4"/>
  <c r="L37" i="4"/>
  <c r="M37" i="4" s="1"/>
  <c r="N37" i="4" s="1"/>
  <c r="O37" i="4" s="1"/>
  <c r="P37" i="4" s="1"/>
  <c r="Q37" i="4" s="1"/>
  <c r="R37" i="4" s="1"/>
  <c r="S37" i="4" s="1"/>
  <c r="T37" i="4" s="1"/>
  <c r="J33" i="4"/>
  <c r="K33" i="4"/>
  <c r="L33" i="4" s="1"/>
  <c r="M33" i="4" s="1"/>
  <c r="N33" i="4" s="1"/>
  <c r="O33" i="4" s="1"/>
  <c r="P33" i="4" s="1"/>
  <c r="Q33" i="4" s="1"/>
  <c r="R33" i="4" s="1"/>
  <c r="S33" i="4" s="1"/>
  <c r="T33" i="4" s="1"/>
  <c r="J29" i="4"/>
  <c r="K29" i="4"/>
  <c r="L29" i="4" s="1"/>
  <c r="M29" i="4" s="1"/>
  <c r="N29" i="4" s="1"/>
  <c r="O29" i="4" s="1"/>
  <c r="P29" i="4" s="1"/>
  <c r="Q29" i="4" s="1"/>
  <c r="R29" i="4" s="1"/>
  <c r="S29" i="4" s="1"/>
  <c r="T29" i="4" s="1"/>
  <c r="J25" i="4"/>
  <c r="K25" i="4"/>
  <c r="L25" i="4" s="1"/>
  <c r="M25" i="4" s="1"/>
  <c r="N25" i="4" s="1"/>
  <c r="O25" i="4" s="1"/>
  <c r="P25" i="4" s="1"/>
  <c r="Q25" i="4" s="1"/>
  <c r="R25" i="4" s="1"/>
  <c r="S25" i="4" s="1"/>
  <c r="T25" i="4" s="1"/>
  <c r="J21" i="4"/>
  <c r="K21" i="4"/>
  <c r="L21" i="4" s="1"/>
  <c r="M21" i="4" s="1"/>
  <c r="N21" i="4" s="1"/>
  <c r="O21" i="4" s="1"/>
  <c r="P21" i="4" s="1"/>
  <c r="Q21" i="4" s="1"/>
  <c r="R21" i="4" s="1"/>
  <c r="S21" i="4" s="1"/>
  <c r="T21" i="4" s="1"/>
  <c r="J17" i="4"/>
  <c r="K17" i="4"/>
  <c r="L17" i="4" s="1"/>
  <c r="M17" i="4" s="1"/>
  <c r="N17" i="4" s="1"/>
  <c r="O17" i="4" s="1"/>
  <c r="P17" i="4" s="1"/>
  <c r="Q17" i="4" s="1"/>
  <c r="R17" i="4" s="1"/>
  <c r="S17" i="4" s="1"/>
  <c r="T17" i="4" s="1"/>
  <c r="J13" i="4"/>
  <c r="K13" i="4"/>
  <c r="L13" i="4" s="1"/>
  <c r="M13" i="4" s="1"/>
  <c r="N13" i="4" s="1"/>
  <c r="O13" i="4" s="1"/>
  <c r="P13" i="4" s="1"/>
  <c r="Q13" i="4" s="1"/>
  <c r="R13" i="4" s="1"/>
  <c r="S13" i="4" s="1"/>
  <c r="T13" i="4" s="1"/>
  <c r="J9" i="4"/>
  <c r="K9" i="4"/>
  <c r="L9" i="4" s="1"/>
  <c r="M9" i="4" s="1"/>
  <c r="N9" i="4" s="1"/>
  <c r="O9" i="4" s="1"/>
  <c r="P9" i="4" s="1"/>
  <c r="Q9" i="4" s="1"/>
  <c r="R9" i="4" s="1"/>
  <c r="S9" i="4" s="1"/>
  <c r="T9" i="4" s="1"/>
  <c r="I49" i="4"/>
  <c r="I45" i="4"/>
  <c r="J41" i="4"/>
  <c r="J37" i="4"/>
  <c r="I33" i="4"/>
  <c r="I29" i="4"/>
  <c r="I25" i="4"/>
  <c r="I21" i="4"/>
  <c r="I17" i="4"/>
  <c r="I13" i="4"/>
  <c r="I9" i="4"/>
  <c r="D3" i="14" l="1"/>
  <c r="C3" i="14"/>
  <c r="B3" i="14"/>
  <c r="G16" i="6"/>
  <c r="I16" i="6"/>
  <c r="J16" i="6"/>
  <c r="J19" i="6" s="1"/>
  <c r="K16" i="6"/>
  <c r="L16" i="6"/>
  <c r="L19" i="6" s="1"/>
  <c r="M16" i="6"/>
  <c r="M19" i="6" s="1"/>
  <c r="N16" i="6"/>
  <c r="N19" i="6" s="1"/>
  <c r="O16" i="6"/>
  <c r="P16" i="6"/>
  <c r="Q16" i="6"/>
  <c r="R16" i="6"/>
  <c r="R19" i="6" s="1"/>
  <c r="S16" i="6"/>
  <c r="G17" i="6"/>
  <c r="F17" i="6"/>
  <c r="F16" i="6"/>
  <c r="S19" i="6"/>
  <c r="P19" i="6"/>
  <c r="K19" i="6"/>
  <c r="G15" i="6" l="1"/>
  <c r="O19" i="6"/>
  <c r="F15" i="6"/>
  <c r="Q19" i="6"/>
  <c r="I19" i="6"/>
  <c r="A4" i="13"/>
  <c r="A5" i="13"/>
  <c r="A6" i="13"/>
  <c r="A7" i="13"/>
  <c r="A8" i="13"/>
  <c r="A9" i="13"/>
  <c r="A10" i="13"/>
  <c r="A11" i="13"/>
  <c r="A12" i="13"/>
  <c r="A13" i="13"/>
  <c r="A14" i="13"/>
  <c r="F6" i="6"/>
  <c r="G73" i="4"/>
  <c r="G72" i="4"/>
  <c r="H60" i="7"/>
  <c r="H54" i="7"/>
  <c r="G71" i="4"/>
  <c r="H71" i="4" s="1"/>
  <c r="I71" i="4" s="1"/>
  <c r="J71" i="4" s="1"/>
  <c r="K71" i="4" s="1"/>
  <c r="L71" i="4" s="1"/>
  <c r="M71" i="4" s="1"/>
  <c r="N71" i="4" s="1"/>
  <c r="O71" i="4" s="1"/>
  <c r="P71" i="4" s="1"/>
  <c r="Q71" i="4" s="1"/>
  <c r="R71" i="4" s="1"/>
  <c r="S71" i="4" s="1"/>
  <c r="T71" i="4" s="1"/>
  <c r="H72" i="4" l="1"/>
  <c r="I72" i="4" s="1"/>
  <c r="J72" i="4" s="1"/>
  <c r="K72" i="4" s="1"/>
  <c r="L72" i="4" s="1"/>
  <c r="M72" i="4" s="1"/>
  <c r="N72" i="4" s="1"/>
  <c r="O72" i="4" s="1"/>
  <c r="P72" i="4" s="1"/>
  <c r="Q72" i="4" s="1"/>
  <c r="R72" i="4" s="1"/>
  <c r="S72" i="4" s="1"/>
  <c r="T72" i="4" s="1"/>
  <c r="H73" i="4"/>
  <c r="I73" i="4" s="1"/>
  <c r="J73" i="4" s="1"/>
  <c r="K73" i="4" s="1"/>
  <c r="L73" i="4" s="1"/>
  <c r="M73" i="4" s="1"/>
  <c r="N73" i="4" s="1"/>
  <c r="O73" i="4" s="1"/>
  <c r="P73" i="4" s="1"/>
  <c r="Q73" i="4" s="1"/>
  <c r="R73" i="4" s="1"/>
  <c r="S73" i="4" s="1"/>
  <c r="T73" i="4" s="1"/>
  <c r="H36" i="4"/>
  <c r="G4" i="14"/>
  <c r="G5" i="14" s="1"/>
  <c r="G6" i="14" s="1"/>
  <c r="G7" i="14" s="1"/>
  <c r="G8" i="14" s="1"/>
  <c r="G9" i="14" s="1"/>
  <c r="G10" i="14" s="1"/>
  <c r="G11" i="14" s="1"/>
  <c r="G12" i="14" s="1"/>
  <c r="G13" i="14" s="1"/>
  <c r="G14" i="14" s="1"/>
  <c r="D21" i="7"/>
  <c r="D18" i="7"/>
  <c r="D15" i="7"/>
  <c r="D12" i="7"/>
  <c r="D75" i="7"/>
  <c r="D72" i="7"/>
  <c r="D69" i="7"/>
  <c r="D66" i="7"/>
  <c r="D63" i="7"/>
  <c r="D60" i="7"/>
  <c r="D57" i="7"/>
  <c r="D54" i="7"/>
  <c r="D51" i="7"/>
  <c r="D48" i="7"/>
  <c r="D45" i="7"/>
  <c r="D42" i="7"/>
  <c r="D39" i="7"/>
  <c r="D36" i="7"/>
  <c r="D33" i="7"/>
  <c r="D30" i="7"/>
  <c r="D27" i="7"/>
  <c r="D24" i="7"/>
  <c r="D8" i="7"/>
  <c r="D9" i="7"/>
  <c r="D6" i="7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T66" i="12"/>
  <c r="S66" i="12"/>
  <c r="R66" i="12"/>
  <c r="Q66" i="12"/>
  <c r="P66" i="12"/>
  <c r="O66" i="12"/>
  <c r="N66" i="12"/>
  <c r="M66" i="12"/>
  <c r="L66" i="12"/>
  <c r="K66" i="12"/>
  <c r="J66" i="12"/>
  <c r="I66" i="12"/>
  <c r="H66" i="12"/>
  <c r="G66" i="12"/>
  <c r="F66" i="12"/>
  <c r="T72" i="12"/>
  <c r="S72" i="12"/>
  <c r="R72" i="12"/>
  <c r="Q72" i="12"/>
  <c r="P72" i="12"/>
  <c r="O72" i="12"/>
  <c r="N72" i="12"/>
  <c r="M72" i="12"/>
  <c r="L72" i="12"/>
  <c r="K72" i="12"/>
  <c r="J72" i="12"/>
  <c r="I72" i="12"/>
  <c r="H72" i="12"/>
  <c r="G72" i="12"/>
  <c r="F72" i="12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T12" i="11"/>
  <c r="S12" i="11"/>
  <c r="R12" i="11"/>
  <c r="Q12" i="11"/>
  <c r="P12" i="11"/>
  <c r="O12" i="11"/>
  <c r="N12" i="11"/>
  <c r="M12" i="11"/>
  <c r="L12" i="11"/>
  <c r="K12" i="11"/>
  <c r="J12" i="11"/>
  <c r="I12" i="11"/>
  <c r="H12" i="11"/>
  <c r="G12" i="11"/>
  <c r="F12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T48" i="11"/>
  <c r="S48" i="11"/>
  <c r="R48" i="11"/>
  <c r="Q48" i="11"/>
  <c r="P48" i="11"/>
  <c r="O48" i="11"/>
  <c r="N48" i="11"/>
  <c r="M48" i="11"/>
  <c r="L48" i="11"/>
  <c r="K48" i="11"/>
  <c r="J48" i="11"/>
  <c r="I48" i="11"/>
  <c r="H48" i="11"/>
  <c r="G48" i="11"/>
  <c r="F48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T60" i="11"/>
  <c r="S60" i="11"/>
  <c r="R60" i="11"/>
  <c r="Q60" i="11"/>
  <c r="P60" i="11"/>
  <c r="O60" i="11"/>
  <c r="N60" i="11"/>
  <c r="M60" i="11"/>
  <c r="L60" i="11"/>
  <c r="K60" i="11"/>
  <c r="J60" i="11"/>
  <c r="I60" i="11"/>
  <c r="H60" i="11"/>
  <c r="G60" i="11"/>
  <c r="F60" i="11"/>
  <c r="T66" i="11"/>
  <c r="S66" i="11"/>
  <c r="R66" i="11"/>
  <c r="Q66" i="11"/>
  <c r="P66" i="11"/>
  <c r="O66" i="11"/>
  <c r="N66" i="11"/>
  <c r="M66" i="11"/>
  <c r="L66" i="11"/>
  <c r="K66" i="11"/>
  <c r="J66" i="11"/>
  <c r="I66" i="11"/>
  <c r="H66" i="11"/>
  <c r="G66" i="11"/>
  <c r="F66" i="11"/>
  <c r="T72" i="11"/>
  <c r="S72" i="11"/>
  <c r="R72" i="11"/>
  <c r="Q72" i="11"/>
  <c r="P72" i="11"/>
  <c r="O72" i="11"/>
  <c r="N72" i="11"/>
  <c r="M72" i="11"/>
  <c r="L72" i="11"/>
  <c r="K72" i="11"/>
  <c r="J72" i="11"/>
  <c r="I72" i="11"/>
  <c r="H72" i="11"/>
  <c r="G72" i="11"/>
  <c r="F72" i="11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T66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G66" i="10"/>
  <c r="F66" i="10"/>
  <c r="T72" i="10"/>
  <c r="S72" i="10"/>
  <c r="R72" i="10"/>
  <c r="Q72" i="10"/>
  <c r="P72" i="10"/>
  <c r="O72" i="10"/>
  <c r="N72" i="10"/>
  <c r="M72" i="10"/>
  <c r="L72" i="10"/>
  <c r="K72" i="10"/>
  <c r="J72" i="10"/>
  <c r="I72" i="10"/>
  <c r="H72" i="10"/>
  <c r="G72" i="10"/>
  <c r="F72" i="10"/>
  <c r="H40" i="4" l="1"/>
  <c r="F68" i="4"/>
  <c r="G68" i="4" s="1"/>
  <c r="H68" i="4" s="1"/>
  <c r="I68" i="4" s="1"/>
  <c r="J68" i="4" s="1"/>
  <c r="K68" i="4" s="1"/>
  <c r="L68" i="4" s="1"/>
  <c r="M68" i="4" s="1"/>
  <c r="N68" i="4" s="1"/>
  <c r="O68" i="4" s="1"/>
  <c r="P68" i="4" s="1"/>
  <c r="Q68" i="4" s="1"/>
  <c r="R68" i="4" s="1"/>
  <c r="S68" i="4" s="1"/>
  <c r="T68" i="4" s="1"/>
  <c r="K32" i="4" l="1"/>
  <c r="F58" i="4" l="1"/>
  <c r="G58" i="4" s="1"/>
  <c r="H58" i="4" s="1"/>
  <c r="F59" i="4"/>
  <c r="G59" i="4" s="1"/>
  <c r="H59" i="4" s="1"/>
  <c r="F60" i="4"/>
  <c r="F61" i="4"/>
  <c r="G61" i="4" s="1"/>
  <c r="H61" i="4" s="1"/>
  <c r="F57" i="4"/>
  <c r="G57" i="4" s="1"/>
  <c r="H57" i="4" s="1"/>
  <c r="I57" i="4" l="1"/>
  <c r="J57" i="4" s="1"/>
  <c r="K57" i="4" s="1"/>
  <c r="L57" i="4" s="1"/>
  <c r="M57" i="4" s="1"/>
  <c r="N57" i="4" s="1"/>
  <c r="O57" i="4" s="1"/>
  <c r="P57" i="4" s="1"/>
  <c r="Q57" i="4" s="1"/>
  <c r="R57" i="4" s="1"/>
  <c r="S57" i="4" s="1"/>
  <c r="T57" i="4" s="1"/>
  <c r="H44" i="4"/>
  <c r="I58" i="4"/>
  <c r="J58" i="4" s="1"/>
  <c r="K58" i="4" s="1"/>
  <c r="L58" i="4" s="1"/>
  <c r="M58" i="4" s="1"/>
  <c r="N58" i="4" s="1"/>
  <c r="O58" i="4" s="1"/>
  <c r="P58" i="4" s="1"/>
  <c r="Q58" i="4" s="1"/>
  <c r="R58" i="4" s="1"/>
  <c r="S58" i="4" s="1"/>
  <c r="T58" i="4" s="1"/>
  <c r="H48" i="4"/>
  <c r="I59" i="4"/>
  <c r="J59" i="4" s="1"/>
  <c r="K59" i="4" s="1"/>
  <c r="L59" i="4" s="1"/>
  <c r="M59" i="4" s="1"/>
  <c r="N59" i="4" s="1"/>
  <c r="O59" i="4" s="1"/>
  <c r="P59" i="4" s="1"/>
  <c r="Q59" i="4" s="1"/>
  <c r="R59" i="4" s="1"/>
  <c r="S59" i="4" s="1"/>
  <c r="T59" i="4" s="1"/>
  <c r="H20" i="4"/>
  <c r="I61" i="4"/>
  <c r="J61" i="4" s="1"/>
  <c r="K61" i="4" s="1"/>
  <c r="L61" i="4" s="1"/>
  <c r="M61" i="4" s="1"/>
  <c r="N61" i="4" s="1"/>
  <c r="O61" i="4" s="1"/>
  <c r="P61" i="4" s="1"/>
  <c r="Q61" i="4" s="1"/>
  <c r="R61" i="4" s="1"/>
  <c r="S61" i="4" s="1"/>
  <c r="T61" i="4" s="1"/>
  <c r="H32" i="4"/>
  <c r="G60" i="4"/>
  <c r="H60" i="4" s="1"/>
  <c r="H12" i="4" l="1"/>
  <c r="I60" i="4"/>
  <c r="H16" i="6" l="1"/>
  <c r="I40" i="4"/>
  <c r="I36" i="4"/>
  <c r="J60" i="4"/>
  <c r="K60" i="4" s="1"/>
  <c r="L60" i="4" s="1"/>
  <c r="M60" i="4" s="1"/>
  <c r="N60" i="4" s="1"/>
  <c r="O60" i="4" s="1"/>
  <c r="P60" i="4" s="1"/>
  <c r="Q60" i="4" s="1"/>
  <c r="R60" i="4" s="1"/>
  <c r="S60" i="4" s="1"/>
  <c r="T60" i="4" s="1"/>
  <c r="H19" i="6" l="1"/>
  <c r="D16" i="6"/>
  <c r="H17" i="6"/>
  <c r="H15" i="6" s="1"/>
  <c r="I39" i="4"/>
  <c r="F70" i="4"/>
  <c r="G70" i="4" s="1"/>
  <c r="H70" i="4" s="1"/>
  <c r="I70" i="4" s="1"/>
  <c r="J70" i="4" s="1"/>
  <c r="K70" i="4" s="1"/>
  <c r="L70" i="4" s="1"/>
  <c r="M70" i="4" s="1"/>
  <c r="N70" i="4" s="1"/>
  <c r="O70" i="4" s="1"/>
  <c r="P70" i="4" s="1"/>
  <c r="Q70" i="4" s="1"/>
  <c r="R70" i="4" s="1"/>
  <c r="S70" i="4" s="1"/>
  <c r="T70" i="4" s="1"/>
  <c r="F64" i="4"/>
  <c r="G64" i="4" s="1"/>
  <c r="H64" i="4" s="1"/>
  <c r="H8" i="4" s="1"/>
  <c r="F69" i="4"/>
  <c r="G69" i="4" s="1"/>
  <c r="H69" i="4" s="1"/>
  <c r="I69" i="4" s="1"/>
  <c r="J69" i="4" s="1"/>
  <c r="K69" i="4" s="1"/>
  <c r="K16" i="4" s="1"/>
  <c r="F66" i="4"/>
  <c r="G66" i="4" s="1"/>
  <c r="H66" i="4" s="1"/>
  <c r="F63" i="4"/>
  <c r="G63" i="4" s="1"/>
  <c r="H63" i="4" s="1"/>
  <c r="F62" i="4"/>
  <c r="G62" i="4" s="1"/>
  <c r="H62" i="4" s="1"/>
  <c r="I62" i="4" s="1"/>
  <c r="J62" i="4" s="1"/>
  <c r="K62" i="4" s="1"/>
  <c r="L62" i="4" s="1"/>
  <c r="M62" i="4" s="1"/>
  <c r="N62" i="4" s="1"/>
  <c r="O62" i="4" s="1"/>
  <c r="P62" i="4" s="1"/>
  <c r="Q62" i="4" s="1"/>
  <c r="R62" i="4" s="1"/>
  <c r="S62" i="4" s="1"/>
  <c r="T62" i="4" s="1"/>
  <c r="F65" i="4"/>
  <c r="G65" i="4" s="1"/>
  <c r="H65" i="4" s="1"/>
  <c r="H16" i="4" s="1"/>
  <c r="F67" i="4"/>
  <c r="G67" i="4" s="1"/>
  <c r="H67" i="4" s="1"/>
  <c r="I67" i="4" s="1"/>
  <c r="J67" i="4" s="1"/>
  <c r="K67" i="4" s="1"/>
  <c r="B16" i="6" l="1"/>
  <c r="I17" i="6"/>
  <c r="D19" i="6"/>
  <c r="B19" i="6" s="1"/>
  <c r="K3" i="14" s="1"/>
  <c r="H20" i="6"/>
  <c r="T8" i="4"/>
  <c r="T16" i="4"/>
  <c r="T36" i="4"/>
  <c r="T48" i="4"/>
  <c r="T40" i="4"/>
  <c r="T32" i="4"/>
  <c r="T12" i="4"/>
  <c r="T44" i="4"/>
  <c r="T20" i="4"/>
  <c r="L67" i="4"/>
  <c r="M67" i="4" s="1"/>
  <c r="N67" i="4" s="1"/>
  <c r="O67" i="4" s="1"/>
  <c r="P67" i="4" s="1"/>
  <c r="Q67" i="4" s="1"/>
  <c r="R67" i="4" s="1"/>
  <c r="S67" i="4" s="1"/>
  <c r="T67" i="4" s="1"/>
  <c r="K48" i="4"/>
  <c r="K44" i="4"/>
  <c r="I66" i="4"/>
  <c r="J66" i="4" s="1"/>
  <c r="K66" i="4" s="1"/>
  <c r="L66" i="4" s="1"/>
  <c r="M66" i="4" s="1"/>
  <c r="N66" i="4" s="1"/>
  <c r="O66" i="4" s="1"/>
  <c r="P66" i="4" s="1"/>
  <c r="Q66" i="4" s="1"/>
  <c r="R66" i="4" s="1"/>
  <c r="S66" i="4" s="1"/>
  <c r="T66" i="4" s="1"/>
  <c r="H28" i="4"/>
  <c r="K24" i="4"/>
  <c r="K20" i="4"/>
  <c r="I63" i="4"/>
  <c r="J63" i="4" s="1"/>
  <c r="K63" i="4" s="1"/>
  <c r="L63" i="4" s="1"/>
  <c r="M63" i="4" s="1"/>
  <c r="N63" i="4" s="1"/>
  <c r="O63" i="4" s="1"/>
  <c r="P63" i="4" s="1"/>
  <c r="Q63" i="4" s="1"/>
  <c r="R63" i="4" s="1"/>
  <c r="S63" i="4" s="1"/>
  <c r="T63" i="4" s="1"/>
  <c r="H24" i="4"/>
  <c r="L69" i="4"/>
  <c r="M69" i="4" s="1"/>
  <c r="N69" i="4" s="1"/>
  <c r="O69" i="4" s="1"/>
  <c r="P69" i="4" s="1"/>
  <c r="Q69" i="4" s="1"/>
  <c r="R69" i="4" s="1"/>
  <c r="S69" i="4" s="1"/>
  <c r="T69" i="4" s="1"/>
  <c r="I65" i="4"/>
  <c r="J65" i="4" s="1"/>
  <c r="K65" i="4" s="1"/>
  <c r="L65" i="4" s="1"/>
  <c r="M65" i="4" s="1"/>
  <c r="N65" i="4" s="1"/>
  <c r="O65" i="4" s="1"/>
  <c r="P65" i="4" s="1"/>
  <c r="Q65" i="4" s="1"/>
  <c r="R65" i="4" s="1"/>
  <c r="S65" i="4" s="1"/>
  <c r="T65" i="4" s="1"/>
  <c r="I64" i="4"/>
  <c r="J64" i="4" s="1"/>
  <c r="K64" i="4" s="1"/>
  <c r="L64" i="4" s="1"/>
  <c r="M64" i="4" s="1"/>
  <c r="N64" i="4" s="1"/>
  <c r="O64" i="4" s="1"/>
  <c r="P64" i="4" s="1"/>
  <c r="Q64" i="4" s="1"/>
  <c r="R64" i="4" s="1"/>
  <c r="S64" i="4" s="1"/>
  <c r="T64" i="4" s="1"/>
  <c r="J17" i="6" l="1"/>
  <c r="I20" i="6"/>
  <c r="I15" i="6"/>
  <c r="T16" i="6"/>
  <c r="E48" i="4"/>
  <c r="K17" i="6" l="1"/>
  <c r="T19" i="6"/>
  <c r="E19" i="6" s="1"/>
  <c r="C19" i="6" s="1"/>
  <c r="E16" i="6"/>
  <c r="J15" i="6"/>
  <c r="J20" i="6"/>
  <c r="D20" i="6" s="1"/>
  <c r="B20" i="6" s="1"/>
  <c r="D17" i="6"/>
  <c r="F7" i="6"/>
  <c r="G2" i="6"/>
  <c r="H2" i="6"/>
  <c r="I2" i="6"/>
  <c r="J2" i="6"/>
  <c r="K2" i="6"/>
  <c r="L2" i="6"/>
  <c r="M2" i="6"/>
  <c r="N2" i="6"/>
  <c r="O2" i="6"/>
  <c r="P2" i="6"/>
  <c r="Q2" i="6"/>
  <c r="R2" i="6"/>
  <c r="S2" i="6"/>
  <c r="T2" i="6"/>
  <c r="F2" i="6"/>
  <c r="K20" i="6" l="1"/>
  <c r="K15" i="6"/>
  <c r="C16" i="6"/>
  <c r="L17" i="6"/>
  <c r="B17" i="6"/>
  <c r="D15" i="6"/>
  <c r="B15" i="6" s="1"/>
  <c r="E8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8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F7" i="11"/>
  <c r="E8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8" i="9"/>
  <c r="E8" i="8"/>
  <c r="E8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A3" i="13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2" i="12"/>
  <c r="T67" i="12"/>
  <c r="S67" i="12"/>
  <c r="R67" i="12"/>
  <c r="Q67" i="12"/>
  <c r="P67" i="12"/>
  <c r="O67" i="12"/>
  <c r="N67" i="12"/>
  <c r="M67" i="12"/>
  <c r="L67" i="12"/>
  <c r="K67" i="12"/>
  <c r="J67" i="12"/>
  <c r="I67" i="12"/>
  <c r="H67" i="12"/>
  <c r="G67" i="12"/>
  <c r="F67" i="12"/>
  <c r="E66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0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4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8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2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6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0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4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8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2" i="12"/>
  <c r="E6" i="12"/>
  <c r="T73" i="11"/>
  <c r="S73" i="11"/>
  <c r="R73" i="11"/>
  <c r="Q73" i="11"/>
  <c r="P73" i="11"/>
  <c r="O73" i="11"/>
  <c r="N73" i="11"/>
  <c r="M73" i="11"/>
  <c r="L73" i="11"/>
  <c r="K73" i="11"/>
  <c r="J73" i="11"/>
  <c r="I73" i="11"/>
  <c r="H73" i="11"/>
  <c r="G73" i="11"/>
  <c r="F73" i="11"/>
  <c r="E72" i="11"/>
  <c r="T67" i="11"/>
  <c r="S67" i="11"/>
  <c r="R67" i="11"/>
  <c r="Q67" i="11"/>
  <c r="P67" i="11"/>
  <c r="O67" i="11"/>
  <c r="N67" i="11"/>
  <c r="M67" i="11"/>
  <c r="L67" i="11"/>
  <c r="K67" i="11"/>
  <c r="J67" i="11"/>
  <c r="I67" i="11"/>
  <c r="H67" i="11"/>
  <c r="G67" i="11"/>
  <c r="F67" i="11"/>
  <c r="E66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0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4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8" i="11"/>
  <c r="T43" i="11"/>
  <c r="S43" i="11"/>
  <c r="R43" i="11"/>
  <c r="Q43" i="11"/>
  <c r="P43" i="11"/>
  <c r="O43" i="11"/>
  <c r="N43" i="11"/>
  <c r="M43" i="11"/>
  <c r="L43" i="11"/>
  <c r="K43" i="11"/>
  <c r="J43" i="11"/>
  <c r="I43" i="11"/>
  <c r="H43" i="11"/>
  <c r="G43" i="11"/>
  <c r="F43" i="11"/>
  <c r="E42" i="11"/>
  <c r="T37" i="11"/>
  <c r="S37" i="11"/>
  <c r="R37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6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0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4" i="11"/>
  <c r="T19" i="11"/>
  <c r="S19" i="11"/>
  <c r="R19" i="11"/>
  <c r="Q19" i="11"/>
  <c r="P19" i="11"/>
  <c r="O19" i="11"/>
  <c r="N19" i="11"/>
  <c r="M19" i="11"/>
  <c r="L19" i="11"/>
  <c r="K19" i="11"/>
  <c r="J19" i="11"/>
  <c r="I19" i="11"/>
  <c r="H19" i="11"/>
  <c r="G19" i="11"/>
  <c r="F19" i="11"/>
  <c r="E18" i="11"/>
  <c r="T13" i="11"/>
  <c r="S13" i="11"/>
  <c r="R13" i="11"/>
  <c r="Q13" i="11"/>
  <c r="P13" i="11"/>
  <c r="O13" i="11"/>
  <c r="N13" i="11"/>
  <c r="M13" i="11"/>
  <c r="L13" i="11"/>
  <c r="K13" i="11"/>
  <c r="J13" i="11"/>
  <c r="I13" i="11"/>
  <c r="H13" i="11"/>
  <c r="G13" i="11"/>
  <c r="F13" i="11"/>
  <c r="E12" i="11"/>
  <c r="E6" i="11"/>
  <c r="T73" i="10"/>
  <c r="S73" i="10"/>
  <c r="R73" i="10"/>
  <c r="Q73" i="10"/>
  <c r="P73" i="10"/>
  <c r="O73" i="10"/>
  <c r="N73" i="10"/>
  <c r="M73" i="10"/>
  <c r="L73" i="10"/>
  <c r="K73" i="10"/>
  <c r="J73" i="10"/>
  <c r="I73" i="10"/>
  <c r="H73" i="10"/>
  <c r="G73" i="10"/>
  <c r="F73" i="10"/>
  <c r="E72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6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0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4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8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2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6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0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4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8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2" i="10"/>
  <c r="E6" i="10"/>
  <c r="B1" i="9"/>
  <c r="K18" i="9" s="1"/>
  <c r="B1" i="8"/>
  <c r="E72" i="7"/>
  <c r="E66" i="7"/>
  <c r="E60" i="7"/>
  <c r="E54" i="7"/>
  <c r="E48" i="7"/>
  <c r="E42" i="7"/>
  <c r="E36" i="7"/>
  <c r="E30" i="7"/>
  <c r="E24" i="7"/>
  <c r="E18" i="7"/>
  <c r="E12" i="7"/>
  <c r="E6" i="7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T43" i="4"/>
  <c r="S43" i="4"/>
  <c r="S68" i="7" s="1"/>
  <c r="R43" i="4"/>
  <c r="R68" i="7" s="1"/>
  <c r="Q43" i="4"/>
  <c r="P43" i="4"/>
  <c r="O43" i="4"/>
  <c r="O68" i="7" s="1"/>
  <c r="N43" i="4"/>
  <c r="N68" i="7" s="1"/>
  <c r="M43" i="4"/>
  <c r="L43" i="4"/>
  <c r="K43" i="4"/>
  <c r="K68" i="7" s="1"/>
  <c r="J43" i="4"/>
  <c r="J68" i="7" s="1"/>
  <c r="I43" i="4"/>
  <c r="H43" i="4"/>
  <c r="G43" i="4"/>
  <c r="G68" i="7" s="1"/>
  <c r="F43" i="4"/>
  <c r="T39" i="4"/>
  <c r="T62" i="7" s="1"/>
  <c r="S39" i="4"/>
  <c r="S62" i="7" s="1"/>
  <c r="R39" i="4"/>
  <c r="Q39" i="4"/>
  <c r="P39" i="4"/>
  <c r="P62" i="7" s="1"/>
  <c r="O39" i="4"/>
  <c r="O62" i="7" s="1"/>
  <c r="N39" i="4"/>
  <c r="M39" i="4"/>
  <c r="L39" i="4"/>
  <c r="L62" i="7" s="1"/>
  <c r="K39" i="4"/>
  <c r="K62" i="7" s="1"/>
  <c r="K62" i="12" s="1"/>
  <c r="J39" i="4"/>
  <c r="H39" i="4"/>
  <c r="H62" i="7" s="1"/>
  <c r="G39" i="4"/>
  <c r="G62" i="9" s="1"/>
  <c r="F39" i="4"/>
  <c r="T35" i="4"/>
  <c r="T56" i="7" s="1"/>
  <c r="S35" i="4"/>
  <c r="R35" i="4"/>
  <c r="Q35" i="4"/>
  <c r="P35" i="4"/>
  <c r="P56" i="7" s="1"/>
  <c r="O35" i="4"/>
  <c r="O56" i="7" s="1"/>
  <c r="O56" i="12" s="1"/>
  <c r="N35" i="4"/>
  <c r="M35" i="4"/>
  <c r="L35" i="4"/>
  <c r="L56" i="7" s="1"/>
  <c r="K35" i="4"/>
  <c r="J35" i="4"/>
  <c r="I35" i="4"/>
  <c r="H35" i="4"/>
  <c r="H56" i="7" s="1"/>
  <c r="G35" i="4"/>
  <c r="G56" i="10" s="1"/>
  <c r="F35" i="4"/>
  <c r="F56" i="7" s="1"/>
  <c r="T31" i="4"/>
  <c r="S31" i="4"/>
  <c r="S50" i="7" s="1"/>
  <c r="R31" i="4"/>
  <c r="Q31" i="4"/>
  <c r="Q50" i="7" s="1"/>
  <c r="P31" i="4"/>
  <c r="O31" i="4"/>
  <c r="O50" i="7" s="1"/>
  <c r="N31" i="4"/>
  <c r="M31" i="4"/>
  <c r="L31" i="4"/>
  <c r="K31" i="4"/>
  <c r="K50" i="7" s="1"/>
  <c r="J31" i="4"/>
  <c r="J50" i="7" s="1"/>
  <c r="I31" i="4"/>
  <c r="H31" i="4"/>
  <c r="G31" i="4"/>
  <c r="G50" i="7" s="1"/>
  <c r="F31" i="4"/>
  <c r="F50" i="7" s="1"/>
  <c r="T27" i="4"/>
  <c r="S27" i="4"/>
  <c r="S44" i="7" s="1"/>
  <c r="R27" i="4"/>
  <c r="R44" i="7" s="1"/>
  <c r="Q27" i="4"/>
  <c r="P27" i="4"/>
  <c r="O27" i="4"/>
  <c r="O44" i="7" s="1"/>
  <c r="N27" i="4"/>
  <c r="N44" i="7" s="1"/>
  <c r="M27" i="4"/>
  <c r="L27" i="4"/>
  <c r="K27" i="4"/>
  <c r="J27" i="4"/>
  <c r="J44" i="7" s="1"/>
  <c r="I27" i="4"/>
  <c r="H27" i="4"/>
  <c r="G27" i="4"/>
  <c r="F27" i="4"/>
  <c r="T23" i="4"/>
  <c r="S23" i="4"/>
  <c r="R23" i="4"/>
  <c r="R38" i="7" s="1"/>
  <c r="Q23" i="4"/>
  <c r="Q38" i="7" s="1"/>
  <c r="P23" i="4"/>
  <c r="O23" i="4"/>
  <c r="N23" i="4"/>
  <c r="M23" i="4"/>
  <c r="M38" i="7" s="1"/>
  <c r="L23" i="4"/>
  <c r="L38" i="7" s="1"/>
  <c r="L38" i="12" s="1"/>
  <c r="K23" i="4"/>
  <c r="J23" i="4"/>
  <c r="J38" i="7" s="1"/>
  <c r="I23" i="4"/>
  <c r="I38" i="7" s="1"/>
  <c r="H23" i="4"/>
  <c r="G23" i="4"/>
  <c r="F23" i="4"/>
  <c r="F38" i="7" s="1"/>
  <c r="T19" i="4"/>
  <c r="T32" i="7" s="1"/>
  <c r="S19" i="4"/>
  <c r="S32" i="7" s="1"/>
  <c r="R19" i="4"/>
  <c r="Q19" i="4"/>
  <c r="P19" i="4"/>
  <c r="P32" i="7" s="1"/>
  <c r="O19" i="4"/>
  <c r="N19" i="4"/>
  <c r="M19" i="4"/>
  <c r="L19" i="4"/>
  <c r="L32" i="7" s="1"/>
  <c r="K19" i="4"/>
  <c r="K32" i="7" s="1"/>
  <c r="K32" i="12" s="1"/>
  <c r="J19" i="4"/>
  <c r="I19" i="4"/>
  <c r="H19" i="4"/>
  <c r="H32" i="7" s="1"/>
  <c r="G19" i="4"/>
  <c r="F19" i="4"/>
  <c r="T15" i="4"/>
  <c r="T26" i="7" s="1"/>
  <c r="S15" i="4"/>
  <c r="S26" i="7" s="1"/>
  <c r="R15" i="4"/>
  <c r="Q15" i="4"/>
  <c r="P15" i="4"/>
  <c r="P26" i="7" s="1"/>
  <c r="O15" i="4"/>
  <c r="O26" i="7" s="1"/>
  <c r="N15" i="4"/>
  <c r="N26" i="7" s="1"/>
  <c r="N26" i="11" s="1"/>
  <c r="M15" i="4"/>
  <c r="L15" i="4"/>
  <c r="L26" i="7" s="1"/>
  <c r="K15" i="4"/>
  <c r="K26" i="7" s="1"/>
  <c r="J15" i="4"/>
  <c r="J26" i="7" s="1"/>
  <c r="J26" i="12" s="1"/>
  <c r="I15" i="4"/>
  <c r="H15" i="4"/>
  <c r="H26" i="7" s="1"/>
  <c r="G15" i="4"/>
  <c r="G26" i="7" s="1"/>
  <c r="F15" i="4"/>
  <c r="M11" i="4"/>
  <c r="L11" i="4"/>
  <c r="K11" i="4"/>
  <c r="J11" i="4"/>
  <c r="I11" i="4"/>
  <c r="I20" i="8" s="1"/>
  <c r="H11" i="4"/>
  <c r="H20" i="8" s="1"/>
  <c r="G11" i="4"/>
  <c r="G20" i="8" s="1"/>
  <c r="F11" i="4"/>
  <c r="T73" i="7"/>
  <c r="S73" i="7"/>
  <c r="R73" i="7"/>
  <c r="Q73" i="7"/>
  <c r="P73" i="7"/>
  <c r="O73" i="7"/>
  <c r="N73" i="7"/>
  <c r="M73" i="7"/>
  <c r="L73" i="7"/>
  <c r="K73" i="7"/>
  <c r="J73" i="7"/>
  <c r="I73" i="7"/>
  <c r="H73" i="7"/>
  <c r="G73" i="7"/>
  <c r="F73" i="7"/>
  <c r="T67" i="7"/>
  <c r="S67" i="7"/>
  <c r="R67" i="7"/>
  <c r="Q67" i="7"/>
  <c r="P67" i="7"/>
  <c r="O67" i="7"/>
  <c r="N67" i="7"/>
  <c r="M67" i="7"/>
  <c r="L67" i="7"/>
  <c r="K67" i="7"/>
  <c r="J67" i="7"/>
  <c r="I67" i="7"/>
  <c r="H67" i="7"/>
  <c r="G67" i="7"/>
  <c r="F67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T13" i="7"/>
  <c r="F13" i="7"/>
  <c r="F7" i="4"/>
  <c r="F14" i="8" s="1"/>
  <c r="G7" i="4"/>
  <c r="G14" i="8" s="1"/>
  <c r="H7" i="4"/>
  <c r="H14" i="8" s="1"/>
  <c r="I7" i="4"/>
  <c r="I14" i="8" s="1"/>
  <c r="J7" i="4"/>
  <c r="K7" i="4"/>
  <c r="L7" i="4"/>
  <c r="L14" i="8" s="1"/>
  <c r="M7" i="4"/>
  <c r="M14" i="8" s="1"/>
  <c r="N7" i="4"/>
  <c r="O7" i="4"/>
  <c r="P7" i="4"/>
  <c r="P14" i="8" s="1"/>
  <c r="Q7" i="4"/>
  <c r="R7" i="4"/>
  <c r="S7" i="4"/>
  <c r="T7" i="4"/>
  <c r="L20" i="6" l="1"/>
  <c r="L15" i="6"/>
  <c r="M17" i="6"/>
  <c r="E67" i="7"/>
  <c r="D31" i="7"/>
  <c r="E37" i="7"/>
  <c r="E7" i="7"/>
  <c r="E9" i="7" s="1"/>
  <c r="B3" i="13" s="1"/>
  <c r="D13" i="7"/>
  <c r="E19" i="7"/>
  <c r="T24" i="9"/>
  <c r="D25" i="7"/>
  <c r="E31" i="7"/>
  <c r="D49" i="7"/>
  <c r="D73" i="7"/>
  <c r="H6" i="9"/>
  <c r="H7" i="9" s="1"/>
  <c r="F30" i="9"/>
  <c r="E13" i="7"/>
  <c r="E25" i="7"/>
  <c r="D43" i="7"/>
  <c r="E49" i="7"/>
  <c r="D55" i="7"/>
  <c r="E61" i="7"/>
  <c r="D67" i="7"/>
  <c r="E73" i="7"/>
  <c r="H12" i="9"/>
  <c r="H13" i="9" s="1"/>
  <c r="J36" i="9"/>
  <c r="E19" i="10"/>
  <c r="G6" i="8"/>
  <c r="G12" i="8"/>
  <c r="G18" i="8"/>
  <c r="F18" i="8"/>
  <c r="H6" i="8"/>
  <c r="H12" i="8"/>
  <c r="H18" i="8"/>
  <c r="I6" i="8"/>
  <c r="I12" i="8"/>
  <c r="I18" i="8"/>
  <c r="F6" i="8"/>
  <c r="F12" i="8"/>
  <c r="D19" i="7"/>
  <c r="D37" i="7"/>
  <c r="E43" i="7"/>
  <c r="D7" i="7"/>
  <c r="F50" i="12"/>
  <c r="F20" i="7"/>
  <c r="F20" i="8"/>
  <c r="D61" i="7"/>
  <c r="E31" i="12"/>
  <c r="E7" i="12"/>
  <c r="E9" i="12" s="1"/>
  <c r="L3" i="13" s="1"/>
  <c r="E73" i="12"/>
  <c r="E13" i="12"/>
  <c r="E19" i="12"/>
  <c r="E25" i="12"/>
  <c r="E37" i="12"/>
  <c r="E43" i="12"/>
  <c r="E49" i="12"/>
  <c r="E55" i="12"/>
  <c r="E61" i="12"/>
  <c r="E67" i="12"/>
  <c r="E13" i="11"/>
  <c r="E19" i="11"/>
  <c r="E43" i="11"/>
  <c r="E73" i="11"/>
  <c r="E7" i="11"/>
  <c r="E9" i="11" s="1"/>
  <c r="J3" i="13" s="1"/>
  <c r="E25" i="11"/>
  <c r="E31" i="11"/>
  <c r="E37" i="11"/>
  <c r="E49" i="11"/>
  <c r="E55" i="11"/>
  <c r="E61" i="11"/>
  <c r="E67" i="11"/>
  <c r="E7" i="10"/>
  <c r="E9" i="10" s="1"/>
  <c r="H3" i="13" s="1"/>
  <c r="E13" i="10"/>
  <c r="E25" i="10"/>
  <c r="E31" i="10"/>
  <c r="E37" i="10"/>
  <c r="E43" i="10"/>
  <c r="E49" i="10"/>
  <c r="E55" i="10"/>
  <c r="E61" i="10"/>
  <c r="E67" i="10"/>
  <c r="E73" i="10"/>
  <c r="H20" i="7"/>
  <c r="H20" i="12" s="1"/>
  <c r="Q14" i="7"/>
  <c r="Q14" i="11" s="1"/>
  <c r="Q14" i="10"/>
  <c r="Q14" i="9"/>
  <c r="T14" i="7"/>
  <c r="T14" i="12" s="1"/>
  <c r="T14" i="10"/>
  <c r="T14" i="9"/>
  <c r="T14" i="8"/>
  <c r="S14" i="7"/>
  <c r="S14" i="12" s="1"/>
  <c r="S14" i="10"/>
  <c r="S14" i="9"/>
  <c r="O14" i="7"/>
  <c r="O14" i="12" s="1"/>
  <c r="O14" i="10"/>
  <c r="O14" i="9"/>
  <c r="K14" i="7"/>
  <c r="K14" i="12" s="1"/>
  <c r="K14" i="10"/>
  <c r="K14" i="9"/>
  <c r="G14" i="7"/>
  <c r="G14" i="11" s="1"/>
  <c r="G14" i="10"/>
  <c r="G14" i="9"/>
  <c r="F20" i="10"/>
  <c r="F20" i="9"/>
  <c r="J20" i="7"/>
  <c r="J20" i="12" s="1"/>
  <c r="J20" i="10"/>
  <c r="J20" i="9"/>
  <c r="H26" i="10"/>
  <c r="H26" i="8"/>
  <c r="H26" i="9"/>
  <c r="L26" i="10"/>
  <c r="L26" i="8"/>
  <c r="L26" i="9"/>
  <c r="P26" i="10"/>
  <c r="P26" i="8"/>
  <c r="P26" i="9"/>
  <c r="T26" i="10"/>
  <c r="T26" i="8"/>
  <c r="T26" i="9"/>
  <c r="I32" i="7"/>
  <c r="I32" i="12" s="1"/>
  <c r="I32" i="10"/>
  <c r="I32" i="8"/>
  <c r="I32" i="9"/>
  <c r="M32" i="7"/>
  <c r="M32" i="11" s="1"/>
  <c r="M32" i="10"/>
  <c r="M32" i="8"/>
  <c r="M32" i="9"/>
  <c r="Q32" i="7"/>
  <c r="Q32" i="12" s="1"/>
  <c r="Q32" i="10"/>
  <c r="Q32" i="8"/>
  <c r="Q32" i="9"/>
  <c r="F38" i="10"/>
  <c r="F38" i="8"/>
  <c r="F38" i="9"/>
  <c r="J38" i="10"/>
  <c r="J38" i="8"/>
  <c r="J38" i="9"/>
  <c r="N38" i="7"/>
  <c r="N38" i="11" s="1"/>
  <c r="N38" i="10"/>
  <c r="N38" i="8"/>
  <c r="N38" i="9"/>
  <c r="R38" i="10"/>
  <c r="R38" i="8"/>
  <c r="R38" i="9"/>
  <c r="G44" i="7"/>
  <c r="G44" i="11" s="1"/>
  <c r="G44" i="10"/>
  <c r="G44" i="8"/>
  <c r="G44" i="9"/>
  <c r="K44" i="7"/>
  <c r="K44" i="12" s="1"/>
  <c r="K44" i="10"/>
  <c r="K44" i="8"/>
  <c r="K44" i="9"/>
  <c r="O44" i="10"/>
  <c r="O44" i="8"/>
  <c r="O44" i="9"/>
  <c r="S44" i="10"/>
  <c r="S44" i="8"/>
  <c r="S44" i="9"/>
  <c r="H50" i="7"/>
  <c r="H50" i="12" s="1"/>
  <c r="H50" i="10"/>
  <c r="H50" i="8"/>
  <c r="H50" i="9"/>
  <c r="L50" i="7"/>
  <c r="L50" i="11" s="1"/>
  <c r="L50" i="10"/>
  <c r="L50" i="8"/>
  <c r="L50" i="9"/>
  <c r="P50" i="7"/>
  <c r="P50" i="12" s="1"/>
  <c r="P50" i="10"/>
  <c r="P50" i="8"/>
  <c r="P50" i="9"/>
  <c r="T50" i="7"/>
  <c r="T50" i="11" s="1"/>
  <c r="T50" i="10"/>
  <c r="T50" i="8"/>
  <c r="T50" i="9"/>
  <c r="I56" i="7"/>
  <c r="I56" i="12" s="1"/>
  <c r="I56" i="10"/>
  <c r="I56" i="8"/>
  <c r="I56" i="9"/>
  <c r="M56" i="7"/>
  <c r="M56" i="11" s="1"/>
  <c r="M56" i="10"/>
  <c r="M56" i="8"/>
  <c r="M56" i="9"/>
  <c r="Q56" i="7"/>
  <c r="Q56" i="12" s="1"/>
  <c r="Q56" i="10"/>
  <c r="Q56" i="8"/>
  <c r="Q56" i="9"/>
  <c r="H62" i="10"/>
  <c r="H62" i="9"/>
  <c r="H62" i="8"/>
  <c r="L62" i="10"/>
  <c r="L62" i="9"/>
  <c r="L62" i="8"/>
  <c r="P62" i="10"/>
  <c r="P62" i="9"/>
  <c r="P62" i="8"/>
  <c r="T62" i="10"/>
  <c r="T62" i="9"/>
  <c r="T62" i="8"/>
  <c r="G68" i="10"/>
  <c r="G68" i="9"/>
  <c r="G68" i="8"/>
  <c r="K68" i="10"/>
  <c r="K68" i="9"/>
  <c r="K68" i="8"/>
  <c r="O68" i="10"/>
  <c r="O68" i="9"/>
  <c r="O68" i="8"/>
  <c r="S68" i="10"/>
  <c r="S68" i="9"/>
  <c r="S68" i="8"/>
  <c r="H74" i="9"/>
  <c r="H74" i="10"/>
  <c r="H74" i="7"/>
  <c r="H74" i="11" s="1"/>
  <c r="H74" i="8"/>
  <c r="L74" i="9"/>
  <c r="L74" i="10"/>
  <c r="L74" i="8"/>
  <c r="L74" i="7"/>
  <c r="L74" i="12" s="1"/>
  <c r="P74" i="9"/>
  <c r="P74" i="10"/>
  <c r="P74" i="8"/>
  <c r="P74" i="7"/>
  <c r="P74" i="11" s="1"/>
  <c r="T74" i="9"/>
  <c r="T74" i="10"/>
  <c r="T74" i="8"/>
  <c r="T74" i="7"/>
  <c r="T74" i="12" s="1"/>
  <c r="R14" i="7"/>
  <c r="R14" i="12" s="1"/>
  <c r="R14" i="10"/>
  <c r="R14" i="9"/>
  <c r="N14" i="7"/>
  <c r="N14" i="11" s="1"/>
  <c r="N14" i="10"/>
  <c r="N14" i="9"/>
  <c r="J14" i="7"/>
  <c r="J14" i="11" s="1"/>
  <c r="J14" i="10"/>
  <c r="J14" i="9"/>
  <c r="F14" i="7"/>
  <c r="F14" i="10"/>
  <c r="F14" i="9"/>
  <c r="G20" i="7"/>
  <c r="G20" i="12" s="1"/>
  <c r="G20" i="10"/>
  <c r="G20" i="9"/>
  <c r="K20" i="7"/>
  <c r="K20" i="12" s="1"/>
  <c r="K20" i="10"/>
  <c r="K20" i="9"/>
  <c r="K20" i="8"/>
  <c r="I26" i="7"/>
  <c r="I26" i="12" s="1"/>
  <c r="I26" i="10"/>
  <c r="I26" i="9"/>
  <c r="I26" i="8"/>
  <c r="M26" i="7"/>
  <c r="M26" i="11" s="1"/>
  <c r="M26" i="10"/>
  <c r="M26" i="9"/>
  <c r="M26" i="8"/>
  <c r="Q26" i="7"/>
  <c r="Q26" i="12" s="1"/>
  <c r="Q26" i="10"/>
  <c r="Q26" i="9"/>
  <c r="Q26" i="8"/>
  <c r="F32" i="7"/>
  <c r="F32" i="10"/>
  <c r="F32" i="9"/>
  <c r="F32" i="8"/>
  <c r="J32" i="7"/>
  <c r="J32" i="12" s="1"/>
  <c r="J32" i="10"/>
  <c r="J32" i="9"/>
  <c r="J32" i="8"/>
  <c r="N32" i="7"/>
  <c r="N32" i="12" s="1"/>
  <c r="N32" i="10"/>
  <c r="N32" i="9"/>
  <c r="N32" i="8"/>
  <c r="R32" i="7"/>
  <c r="R32" i="12" s="1"/>
  <c r="R32" i="10"/>
  <c r="R32" i="9"/>
  <c r="R32" i="8"/>
  <c r="G38" i="7"/>
  <c r="G38" i="12" s="1"/>
  <c r="G38" i="10"/>
  <c r="G38" i="9"/>
  <c r="G38" i="8"/>
  <c r="K38" i="7"/>
  <c r="K38" i="12" s="1"/>
  <c r="K38" i="10"/>
  <c r="K38" i="9"/>
  <c r="K38" i="8"/>
  <c r="O38" i="7"/>
  <c r="O38" i="11" s="1"/>
  <c r="O38" i="10"/>
  <c r="O38" i="9"/>
  <c r="O38" i="8"/>
  <c r="S38" i="7"/>
  <c r="S38" i="12" s="1"/>
  <c r="S38" i="10"/>
  <c r="S38" i="9"/>
  <c r="S38" i="8"/>
  <c r="H44" i="7"/>
  <c r="H44" i="12" s="1"/>
  <c r="H44" i="10"/>
  <c r="H44" i="9"/>
  <c r="H44" i="8"/>
  <c r="L44" i="7"/>
  <c r="L44" i="12" s="1"/>
  <c r="L44" i="10"/>
  <c r="L44" i="9"/>
  <c r="L44" i="8"/>
  <c r="P44" i="7"/>
  <c r="P44" i="12" s="1"/>
  <c r="P44" i="10"/>
  <c r="P44" i="9"/>
  <c r="P44" i="8"/>
  <c r="T44" i="7"/>
  <c r="T44" i="12" s="1"/>
  <c r="T44" i="10"/>
  <c r="T44" i="9"/>
  <c r="T44" i="8"/>
  <c r="I50" i="7"/>
  <c r="I50" i="12" s="1"/>
  <c r="I50" i="10"/>
  <c r="I50" i="9"/>
  <c r="I50" i="8"/>
  <c r="M50" i="7"/>
  <c r="M50" i="12" s="1"/>
  <c r="M50" i="10"/>
  <c r="M50" i="9"/>
  <c r="M50" i="8"/>
  <c r="Q50" i="10"/>
  <c r="Q50" i="9"/>
  <c r="Q50" i="8"/>
  <c r="J56" i="7"/>
  <c r="J56" i="12" s="1"/>
  <c r="J56" i="10"/>
  <c r="J56" i="8"/>
  <c r="J56" i="9"/>
  <c r="N56" i="7"/>
  <c r="N56" i="11" s="1"/>
  <c r="N56" i="10"/>
  <c r="N56" i="8"/>
  <c r="N56" i="9"/>
  <c r="R56" i="7"/>
  <c r="R56" i="12" s="1"/>
  <c r="R56" i="10"/>
  <c r="R56" i="8"/>
  <c r="R56" i="9"/>
  <c r="I62" i="7"/>
  <c r="I62" i="10"/>
  <c r="I62" i="9"/>
  <c r="I62" i="8"/>
  <c r="M62" i="7"/>
  <c r="M62" i="11" s="1"/>
  <c r="M62" i="10"/>
  <c r="M62" i="9"/>
  <c r="M62" i="8"/>
  <c r="Q62" i="7"/>
  <c r="Q62" i="12" s="1"/>
  <c r="Q62" i="10"/>
  <c r="Q62" i="9"/>
  <c r="Q62" i="8"/>
  <c r="H68" i="7"/>
  <c r="H68" i="12" s="1"/>
  <c r="H68" i="9"/>
  <c r="H68" i="10"/>
  <c r="H68" i="8"/>
  <c r="L68" i="7"/>
  <c r="L68" i="12" s="1"/>
  <c r="L68" i="9"/>
  <c r="L68" i="10"/>
  <c r="L68" i="8"/>
  <c r="P68" i="7"/>
  <c r="P68" i="12" s="1"/>
  <c r="P68" i="9"/>
  <c r="P68" i="10"/>
  <c r="P68" i="8"/>
  <c r="T68" i="7"/>
  <c r="T68" i="12" s="1"/>
  <c r="T68" i="9"/>
  <c r="T68" i="10"/>
  <c r="T68" i="8"/>
  <c r="I74" i="8"/>
  <c r="I74" i="9"/>
  <c r="I74" i="10"/>
  <c r="I74" i="7"/>
  <c r="I74" i="11" s="1"/>
  <c r="M74" i="8"/>
  <c r="M74" i="7"/>
  <c r="M74" i="12" s="1"/>
  <c r="M74" i="9"/>
  <c r="M74" i="10"/>
  <c r="Q74" i="8"/>
  <c r="Q74" i="7"/>
  <c r="Q74" i="12" s="1"/>
  <c r="Q74" i="9"/>
  <c r="Q74" i="10"/>
  <c r="Q14" i="8"/>
  <c r="M14" i="7"/>
  <c r="M14" i="11" s="1"/>
  <c r="M14" i="10"/>
  <c r="M14" i="9"/>
  <c r="I14" i="7"/>
  <c r="I14" i="11" s="1"/>
  <c r="I14" i="10"/>
  <c r="I14" i="9"/>
  <c r="H20" i="10"/>
  <c r="H20" i="9"/>
  <c r="L20" i="7"/>
  <c r="L20" i="12" s="1"/>
  <c r="L20" i="10"/>
  <c r="L20" i="9"/>
  <c r="F26" i="7"/>
  <c r="F26" i="10"/>
  <c r="F26" i="9"/>
  <c r="F26" i="8"/>
  <c r="J26" i="10"/>
  <c r="J26" i="9"/>
  <c r="J26" i="8"/>
  <c r="N26" i="10"/>
  <c r="N26" i="9"/>
  <c r="N26" i="8"/>
  <c r="R26" i="7"/>
  <c r="R26" i="12" s="1"/>
  <c r="R26" i="10"/>
  <c r="R26" i="9"/>
  <c r="R26" i="8"/>
  <c r="G32" i="7"/>
  <c r="G32" i="12" s="1"/>
  <c r="G32" i="10"/>
  <c r="G32" i="9"/>
  <c r="G32" i="8"/>
  <c r="K32" i="10"/>
  <c r="K32" i="9"/>
  <c r="K32" i="8"/>
  <c r="O32" i="7"/>
  <c r="O32" i="12" s="1"/>
  <c r="O32" i="10"/>
  <c r="O32" i="9"/>
  <c r="O32" i="8"/>
  <c r="S32" i="10"/>
  <c r="S32" i="9"/>
  <c r="S32" i="8"/>
  <c r="H38" i="7"/>
  <c r="H38" i="10"/>
  <c r="H38" i="8"/>
  <c r="H38" i="9"/>
  <c r="L38" i="10"/>
  <c r="L38" i="8"/>
  <c r="L38" i="9"/>
  <c r="P38" i="7"/>
  <c r="P38" i="12" s="1"/>
  <c r="P38" i="10"/>
  <c r="P38" i="8"/>
  <c r="P38" i="9"/>
  <c r="T38" i="7"/>
  <c r="T38" i="12" s="1"/>
  <c r="T38" i="10"/>
  <c r="T38" i="8"/>
  <c r="T38" i="9"/>
  <c r="I44" i="7"/>
  <c r="I44" i="12" s="1"/>
  <c r="I44" i="10"/>
  <c r="I44" i="8"/>
  <c r="I44" i="9"/>
  <c r="M44" i="7"/>
  <c r="M44" i="12" s="1"/>
  <c r="M44" i="10"/>
  <c r="M44" i="8"/>
  <c r="M44" i="9"/>
  <c r="Q44" i="7"/>
  <c r="Q44" i="12" s="1"/>
  <c r="Q44" i="10"/>
  <c r="Q44" i="8"/>
  <c r="Q44" i="9"/>
  <c r="F50" i="10"/>
  <c r="F50" i="8"/>
  <c r="F50" i="9"/>
  <c r="J50" i="10"/>
  <c r="J50" i="8"/>
  <c r="J50" i="9"/>
  <c r="N50" i="7"/>
  <c r="N50" i="12" s="1"/>
  <c r="N50" i="10"/>
  <c r="N50" i="8"/>
  <c r="N50" i="9"/>
  <c r="R50" i="7"/>
  <c r="R50" i="11" s="1"/>
  <c r="R50" i="10"/>
  <c r="R50" i="8"/>
  <c r="R50" i="9"/>
  <c r="K56" i="7"/>
  <c r="K56" i="12" s="1"/>
  <c r="K56" i="10"/>
  <c r="K56" i="8"/>
  <c r="K56" i="9"/>
  <c r="O56" i="10"/>
  <c r="O56" i="8"/>
  <c r="O56" i="9"/>
  <c r="S56" i="7"/>
  <c r="S56" i="12" s="1"/>
  <c r="S56" i="10"/>
  <c r="S56" i="8"/>
  <c r="S56" i="9"/>
  <c r="F62" i="7"/>
  <c r="F62" i="11" s="1"/>
  <c r="F62" i="10"/>
  <c r="J62" i="7"/>
  <c r="J62" i="12" s="1"/>
  <c r="J62" i="10"/>
  <c r="J62" i="9"/>
  <c r="J62" i="8"/>
  <c r="N62" i="7"/>
  <c r="N62" i="11" s="1"/>
  <c r="N62" i="10"/>
  <c r="N62" i="9"/>
  <c r="N62" i="8"/>
  <c r="R62" i="7"/>
  <c r="R62" i="12" s="1"/>
  <c r="R62" i="10"/>
  <c r="R62" i="9"/>
  <c r="R62" i="8"/>
  <c r="I68" i="7"/>
  <c r="I68" i="12" s="1"/>
  <c r="I68" i="10"/>
  <c r="I68" i="9"/>
  <c r="I68" i="8"/>
  <c r="M68" i="7"/>
  <c r="M68" i="11" s="1"/>
  <c r="M68" i="10"/>
  <c r="M68" i="9"/>
  <c r="M68" i="8"/>
  <c r="Q68" i="7"/>
  <c r="Q68" i="12" s="1"/>
  <c r="Q68" i="10"/>
  <c r="Q68" i="9"/>
  <c r="Q68" i="8"/>
  <c r="F74" i="8"/>
  <c r="F74" i="7"/>
  <c r="F74" i="9"/>
  <c r="F74" i="10"/>
  <c r="J74" i="8"/>
  <c r="J74" i="7"/>
  <c r="J74" i="11" s="1"/>
  <c r="J74" i="9"/>
  <c r="J74" i="10"/>
  <c r="N74" i="8"/>
  <c r="N74" i="7"/>
  <c r="N74" i="11" s="1"/>
  <c r="N74" i="9"/>
  <c r="N74" i="10"/>
  <c r="R74" i="8"/>
  <c r="R74" i="7"/>
  <c r="R74" i="11" s="1"/>
  <c r="R74" i="9"/>
  <c r="R74" i="10"/>
  <c r="J14" i="8"/>
  <c r="N14" i="8"/>
  <c r="R14" i="8"/>
  <c r="J20" i="8"/>
  <c r="P14" i="7"/>
  <c r="P14" i="12" s="1"/>
  <c r="P14" i="10"/>
  <c r="P14" i="9"/>
  <c r="L14" i="7"/>
  <c r="L14" i="11" s="1"/>
  <c r="L14" i="10"/>
  <c r="L14" i="9"/>
  <c r="H14" i="7"/>
  <c r="H14" i="12" s="1"/>
  <c r="H14" i="10"/>
  <c r="H14" i="9"/>
  <c r="I20" i="7"/>
  <c r="I20" i="11" s="1"/>
  <c r="I20" i="10"/>
  <c r="I20" i="9"/>
  <c r="M20" i="7"/>
  <c r="M20" i="11" s="1"/>
  <c r="M20" i="10"/>
  <c r="M20" i="9"/>
  <c r="M20" i="8"/>
  <c r="G26" i="10"/>
  <c r="G26" i="9"/>
  <c r="G26" i="8"/>
  <c r="K26" i="10"/>
  <c r="K26" i="9"/>
  <c r="K26" i="8"/>
  <c r="O26" i="10"/>
  <c r="O26" i="9"/>
  <c r="O26" i="8"/>
  <c r="S26" i="10"/>
  <c r="S26" i="9"/>
  <c r="S26" i="8"/>
  <c r="H32" i="10"/>
  <c r="H32" i="8"/>
  <c r="H32" i="9"/>
  <c r="L32" i="10"/>
  <c r="L32" i="8"/>
  <c r="L32" i="9"/>
  <c r="P32" i="10"/>
  <c r="P32" i="8"/>
  <c r="P32" i="9"/>
  <c r="T32" i="10"/>
  <c r="T32" i="8"/>
  <c r="T32" i="9"/>
  <c r="I38" i="10"/>
  <c r="I38" i="8"/>
  <c r="I38" i="9"/>
  <c r="M38" i="10"/>
  <c r="M38" i="8"/>
  <c r="M38" i="9"/>
  <c r="Q38" i="10"/>
  <c r="Q38" i="8"/>
  <c r="Q38" i="9"/>
  <c r="F44" i="7"/>
  <c r="F44" i="10"/>
  <c r="F44" i="8"/>
  <c r="F44" i="9"/>
  <c r="J44" i="10"/>
  <c r="J44" i="8"/>
  <c r="J44" i="9"/>
  <c r="N44" i="10"/>
  <c r="N44" i="8"/>
  <c r="N44" i="9"/>
  <c r="R44" i="10"/>
  <c r="R44" i="8"/>
  <c r="R44" i="9"/>
  <c r="G50" i="10"/>
  <c r="G50" i="8"/>
  <c r="G50" i="9"/>
  <c r="K50" i="10"/>
  <c r="K50" i="8"/>
  <c r="K50" i="9"/>
  <c r="O50" i="10"/>
  <c r="O50" i="8"/>
  <c r="O50" i="9"/>
  <c r="S50" i="10"/>
  <c r="S50" i="8"/>
  <c r="S50" i="9"/>
  <c r="H56" i="10"/>
  <c r="H56" i="9"/>
  <c r="H56" i="8"/>
  <c r="L56" i="10"/>
  <c r="L56" i="9"/>
  <c r="L56" i="8"/>
  <c r="P56" i="10"/>
  <c r="P56" i="9"/>
  <c r="P56" i="8"/>
  <c r="T56" i="10"/>
  <c r="T56" i="9"/>
  <c r="T56" i="8"/>
  <c r="K62" i="10"/>
  <c r="K62" i="9"/>
  <c r="K62" i="8"/>
  <c r="O62" i="10"/>
  <c r="O62" i="9"/>
  <c r="O62" i="8"/>
  <c r="S62" i="10"/>
  <c r="S62" i="9"/>
  <c r="S62" i="8"/>
  <c r="F68" i="7"/>
  <c r="F68" i="10"/>
  <c r="F68" i="9"/>
  <c r="F68" i="8"/>
  <c r="J68" i="10"/>
  <c r="J68" i="9"/>
  <c r="J68" i="8"/>
  <c r="N68" i="10"/>
  <c r="N68" i="9"/>
  <c r="N68" i="8"/>
  <c r="R68" i="10"/>
  <c r="R68" i="9"/>
  <c r="R68" i="8"/>
  <c r="G74" i="10"/>
  <c r="G74" i="7"/>
  <c r="G74" i="12" s="1"/>
  <c r="G74" i="8"/>
  <c r="G74" i="9"/>
  <c r="K74" i="10"/>
  <c r="K74" i="8"/>
  <c r="K74" i="7"/>
  <c r="K74" i="11" s="1"/>
  <c r="K74" i="9"/>
  <c r="O74" i="10"/>
  <c r="O74" i="8"/>
  <c r="O74" i="7"/>
  <c r="O74" i="12" s="1"/>
  <c r="O74" i="9"/>
  <c r="S74" i="10"/>
  <c r="S74" i="8"/>
  <c r="S74" i="7"/>
  <c r="S74" i="12" s="1"/>
  <c r="S74" i="9"/>
  <c r="K14" i="8"/>
  <c r="O14" i="8"/>
  <c r="S14" i="8"/>
  <c r="L20" i="8"/>
  <c r="F62" i="8"/>
  <c r="F62" i="9"/>
  <c r="G62" i="8"/>
  <c r="G62" i="10"/>
  <c r="G62" i="7"/>
  <c r="G62" i="12" s="1"/>
  <c r="F56" i="8"/>
  <c r="F56" i="10"/>
  <c r="F56" i="9"/>
  <c r="G56" i="7"/>
  <c r="G56" i="8"/>
  <c r="G56" i="9"/>
  <c r="E55" i="7"/>
  <c r="H30" i="8"/>
  <c r="J42" i="8"/>
  <c r="L54" i="8"/>
  <c r="O42" i="9"/>
  <c r="N54" i="9"/>
  <c r="L12" i="8"/>
  <c r="P30" i="8"/>
  <c r="R42" i="8"/>
  <c r="T54" i="8"/>
  <c r="M60" i="8"/>
  <c r="L72" i="8"/>
  <c r="F50" i="11"/>
  <c r="T12" i="8"/>
  <c r="G24" i="8"/>
  <c r="I36" i="8"/>
  <c r="K48" i="8"/>
  <c r="P6" i="8"/>
  <c r="P7" i="8" s="1"/>
  <c r="M18" i="8"/>
  <c r="O24" i="8"/>
  <c r="Q36" i="8"/>
  <c r="S48" i="8"/>
  <c r="P6" i="9"/>
  <c r="P7" i="9" s="1"/>
  <c r="K32" i="11"/>
  <c r="K26" i="12"/>
  <c r="K26" i="11"/>
  <c r="S44" i="12"/>
  <c r="S44" i="11"/>
  <c r="L62" i="12"/>
  <c r="L62" i="11"/>
  <c r="O68" i="12"/>
  <c r="O68" i="11"/>
  <c r="G68" i="12"/>
  <c r="G68" i="11"/>
  <c r="F56" i="12"/>
  <c r="F56" i="11"/>
  <c r="S72" i="8"/>
  <c r="O72" i="8"/>
  <c r="K72" i="8"/>
  <c r="G72" i="8"/>
  <c r="R66" i="8"/>
  <c r="N66" i="8"/>
  <c r="J66" i="8"/>
  <c r="F66" i="8"/>
  <c r="R72" i="8"/>
  <c r="N72" i="8"/>
  <c r="J72" i="8"/>
  <c r="F72" i="8"/>
  <c r="Q66" i="8"/>
  <c r="M66" i="8"/>
  <c r="I66" i="8"/>
  <c r="R60" i="8"/>
  <c r="N60" i="8"/>
  <c r="J60" i="8"/>
  <c r="F60" i="8"/>
  <c r="Q72" i="8"/>
  <c r="M72" i="8"/>
  <c r="I72" i="8"/>
  <c r="T66" i="8"/>
  <c r="P66" i="8"/>
  <c r="T72" i="8"/>
  <c r="S66" i="8"/>
  <c r="H66" i="8"/>
  <c r="P60" i="8"/>
  <c r="K60" i="8"/>
  <c r="R54" i="8"/>
  <c r="N54" i="8"/>
  <c r="J54" i="8"/>
  <c r="F54" i="8"/>
  <c r="Q48" i="8"/>
  <c r="M48" i="8"/>
  <c r="I48" i="8"/>
  <c r="T42" i="8"/>
  <c r="P42" i="8"/>
  <c r="L42" i="8"/>
  <c r="H42" i="8"/>
  <c r="S36" i="8"/>
  <c r="O36" i="8"/>
  <c r="K36" i="8"/>
  <c r="G36" i="8"/>
  <c r="R30" i="8"/>
  <c r="N30" i="8"/>
  <c r="J30" i="8"/>
  <c r="F30" i="8"/>
  <c r="Q24" i="8"/>
  <c r="M24" i="8"/>
  <c r="I24" i="8"/>
  <c r="S18" i="8"/>
  <c r="O18" i="8"/>
  <c r="K18" i="8"/>
  <c r="R12" i="8"/>
  <c r="N12" i="8"/>
  <c r="J12" i="8"/>
  <c r="J6" i="8"/>
  <c r="N6" i="8"/>
  <c r="R6" i="8"/>
  <c r="R7" i="8" s="1"/>
  <c r="P72" i="8"/>
  <c r="O66" i="8"/>
  <c r="G66" i="8"/>
  <c r="T60" i="8"/>
  <c r="O60" i="8"/>
  <c r="I60" i="8"/>
  <c r="Q54" i="8"/>
  <c r="M54" i="8"/>
  <c r="I54" i="8"/>
  <c r="T48" i="8"/>
  <c r="P48" i="8"/>
  <c r="L48" i="8"/>
  <c r="H48" i="8"/>
  <c r="S42" i="8"/>
  <c r="O42" i="8"/>
  <c r="K42" i="8"/>
  <c r="G42" i="8"/>
  <c r="R36" i="8"/>
  <c r="N36" i="8"/>
  <c r="J36" i="8"/>
  <c r="F36" i="8"/>
  <c r="Q30" i="8"/>
  <c r="M30" i="8"/>
  <c r="I30" i="8"/>
  <c r="T24" i="8"/>
  <c r="P24" i="8"/>
  <c r="L24" i="8"/>
  <c r="H24" i="8"/>
  <c r="R18" i="8"/>
  <c r="N18" i="8"/>
  <c r="J18" i="8"/>
  <c r="Q12" i="8"/>
  <c r="M12" i="8"/>
  <c r="K6" i="8"/>
  <c r="K7" i="8" s="1"/>
  <c r="O6" i="8"/>
  <c r="O7" i="8" s="1"/>
  <c r="S6" i="8"/>
  <c r="M6" i="8"/>
  <c r="O12" i="8"/>
  <c r="P18" i="8"/>
  <c r="J24" i="8"/>
  <c r="R24" i="8"/>
  <c r="K30" i="8"/>
  <c r="S30" i="8"/>
  <c r="L36" i="8"/>
  <c r="T36" i="8"/>
  <c r="M42" i="8"/>
  <c r="F48" i="8"/>
  <c r="N48" i="8"/>
  <c r="G54" i="8"/>
  <c r="O54" i="8"/>
  <c r="G60" i="8"/>
  <c r="Q60" i="8"/>
  <c r="K66" i="8"/>
  <c r="O56" i="11"/>
  <c r="K62" i="11"/>
  <c r="P26" i="12"/>
  <c r="P26" i="11"/>
  <c r="M38" i="12"/>
  <c r="M38" i="11"/>
  <c r="J44" i="12"/>
  <c r="J44" i="11"/>
  <c r="K50" i="12"/>
  <c r="K50" i="11"/>
  <c r="P56" i="12"/>
  <c r="P56" i="11"/>
  <c r="T62" i="12"/>
  <c r="T62" i="11"/>
  <c r="O26" i="12"/>
  <c r="O26" i="11"/>
  <c r="S32" i="12"/>
  <c r="S32" i="11"/>
  <c r="H32" i="12"/>
  <c r="H32" i="11"/>
  <c r="R44" i="12"/>
  <c r="R44" i="11"/>
  <c r="S50" i="12"/>
  <c r="S50" i="11"/>
  <c r="J50" i="12"/>
  <c r="J50" i="11"/>
  <c r="S62" i="12"/>
  <c r="S62" i="11"/>
  <c r="N68" i="12"/>
  <c r="N68" i="11"/>
  <c r="T6" i="8"/>
  <c r="T7" i="8" s="1"/>
  <c r="L6" i="8"/>
  <c r="L7" i="8" s="1"/>
  <c r="P12" i="8"/>
  <c r="Q18" i="8"/>
  <c r="K24" i="8"/>
  <c r="S24" i="8"/>
  <c r="L30" i="8"/>
  <c r="T30" i="8"/>
  <c r="M36" i="8"/>
  <c r="F42" i="8"/>
  <c r="N42" i="8"/>
  <c r="G48" i="8"/>
  <c r="O48" i="8"/>
  <c r="H54" i="8"/>
  <c r="P54" i="8"/>
  <c r="H60" i="8"/>
  <c r="S60" i="8"/>
  <c r="L66" i="8"/>
  <c r="J26" i="11"/>
  <c r="L38" i="11"/>
  <c r="N26" i="12"/>
  <c r="T32" i="12"/>
  <c r="T32" i="11"/>
  <c r="F38" i="12"/>
  <c r="F38" i="11"/>
  <c r="T26" i="12"/>
  <c r="T26" i="11"/>
  <c r="H26" i="12"/>
  <c r="H26" i="11"/>
  <c r="P32" i="12"/>
  <c r="P32" i="11"/>
  <c r="R38" i="12"/>
  <c r="R38" i="11"/>
  <c r="J38" i="12"/>
  <c r="J38" i="11"/>
  <c r="O44" i="12"/>
  <c r="O44" i="11"/>
  <c r="Q50" i="12"/>
  <c r="Q50" i="11"/>
  <c r="G50" i="12"/>
  <c r="G50" i="11"/>
  <c r="L56" i="12"/>
  <c r="L56" i="11"/>
  <c r="P62" i="12"/>
  <c r="P62" i="11"/>
  <c r="H62" i="12"/>
  <c r="H62" i="11"/>
  <c r="S68" i="12"/>
  <c r="S68" i="11"/>
  <c r="K68" i="12"/>
  <c r="K68" i="11"/>
  <c r="Q6" i="8"/>
  <c r="Q7" i="8" s="1"/>
  <c r="K12" i="8"/>
  <c r="S12" i="8"/>
  <c r="L18" i="8"/>
  <c r="T18" i="8"/>
  <c r="F24" i="8"/>
  <c r="N24" i="8"/>
  <c r="G30" i="8"/>
  <c r="O30" i="8"/>
  <c r="H36" i="8"/>
  <c r="P36" i="8"/>
  <c r="I42" i="8"/>
  <c r="Q42" i="8"/>
  <c r="J48" i="8"/>
  <c r="R48" i="8"/>
  <c r="K54" i="8"/>
  <c r="S54" i="8"/>
  <c r="L60" i="8"/>
  <c r="H72" i="8"/>
  <c r="S26" i="12"/>
  <c r="S26" i="11"/>
  <c r="L26" i="12"/>
  <c r="L26" i="11"/>
  <c r="G26" i="12"/>
  <c r="G26" i="11"/>
  <c r="L32" i="12"/>
  <c r="L32" i="11"/>
  <c r="Q38" i="12"/>
  <c r="Q38" i="11"/>
  <c r="I38" i="12"/>
  <c r="I38" i="11"/>
  <c r="N44" i="12"/>
  <c r="N44" i="11"/>
  <c r="O50" i="12"/>
  <c r="O50" i="11"/>
  <c r="T56" i="12"/>
  <c r="T56" i="11"/>
  <c r="H56" i="12"/>
  <c r="H56" i="11"/>
  <c r="O62" i="12"/>
  <c r="O62" i="11"/>
  <c r="R68" i="12"/>
  <c r="R68" i="11"/>
  <c r="J68" i="12"/>
  <c r="J68" i="11"/>
  <c r="Q60" i="9"/>
  <c r="P12" i="9"/>
  <c r="J6" i="9"/>
  <c r="J7" i="9" s="1"/>
  <c r="R6" i="9"/>
  <c r="R7" i="9" s="1"/>
  <c r="J12" i="9"/>
  <c r="R12" i="9"/>
  <c r="N18" i="9"/>
  <c r="H24" i="9"/>
  <c r="J30" i="9"/>
  <c r="N36" i="9"/>
  <c r="T42" i="9"/>
  <c r="J48" i="9"/>
  <c r="T54" i="9"/>
  <c r="T72" i="9"/>
  <c r="P72" i="9"/>
  <c r="L72" i="9"/>
  <c r="H72" i="9"/>
  <c r="H73" i="9" s="1"/>
  <c r="Q66" i="9"/>
  <c r="M66" i="9"/>
  <c r="I66" i="9"/>
  <c r="T60" i="9"/>
  <c r="P60" i="9"/>
  <c r="L60" i="9"/>
  <c r="H60" i="9"/>
  <c r="S54" i="9"/>
  <c r="O54" i="9"/>
  <c r="K54" i="9"/>
  <c r="G54" i="9"/>
  <c r="T48" i="9"/>
  <c r="P48" i="9"/>
  <c r="L48" i="9"/>
  <c r="H48" i="9"/>
  <c r="Q42" i="9"/>
  <c r="M42" i="9"/>
  <c r="I42" i="9"/>
  <c r="S72" i="9"/>
  <c r="O72" i="9"/>
  <c r="K72" i="9"/>
  <c r="G72" i="9"/>
  <c r="T66" i="9"/>
  <c r="P66" i="9"/>
  <c r="L66" i="9"/>
  <c r="H66" i="9"/>
  <c r="H67" i="9" s="1"/>
  <c r="R72" i="9"/>
  <c r="J72" i="9"/>
  <c r="R66" i="9"/>
  <c r="J66" i="9"/>
  <c r="O60" i="9"/>
  <c r="J60" i="9"/>
  <c r="Q54" i="9"/>
  <c r="L54" i="9"/>
  <c r="F54" i="9"/>
  <c r="R48" i="9"/>
  <c r="M48" i="9"/>
  <c r="G48" i="9"/>
  <c r="R42" i="9"/>
  <c r="L42" i="9"/>
  <c r="G42" i="9"/>
  <c r="T36" i="9"/>
  <c r="P36" i="9"/>
  <c r="L36" i="9"/>
  <c r="H36" i="9"/>
  <c r="Q30" i="9"/>
  <c r="M30" i="9"/>
  <c r="I30" i="9"/>
  <c r="R24" i="9"/>
  <c r="N24" i="9"/>
  <c r="J24" i="9"/>
  <c r="F24" i="9"/>
  <c r="Q18" i="9"/>
  <c r="M18" i="9"/>
  <c r="I18" i="9"/>
  <c r="Q72" i="9"/>
  <c r="I72" i="9"/>
  <c r="O66" i="9"/>
  <c r="G66" i="9"/>
  <c r="S60" i="9"/>
  <c r="N60" i="9"/>
  <c r="I60" i="9"/>
  <c r="P54" i="9"/>
  <c r="J54" i="9"/>
  <c r="Q48" i="9"/>
  <c r="K48" i="9"/>
  <c r="F48" i="9"/>
  <c r="P42" i="9"/>
  <c r="K42" i="9"/>
  <c r="F42" i="9"/>
  <c r="S36" i="9"/>
  <c r="O36" i="9"/>
  <c r="K36" i="9"/>
  <c r="G36" i="9"/>
  <c r="T30" i="9"/>
  <c r="P30" i="9"/>
  <c r="L30" i="9"/>
  <c r="H30" i="9"/>
  <c r="H31" i="9" s="1"/>
  <c r="Q24" i="9"/>
  <c r="M24" i="9"/>
  <c r="I24" i="9"/>
  <c r="S66" i="9"/>
  <c r="M60" i="9"/>
  <c r="R54" i="9"/>
  <c r="H54" i="9"/>
  <c r="H55" i="9" s="1"/>
  <c r="S48" i="9"/>
  <c r="I48" i="9"/>
  <c r="S42" i="9"/>
  <c r="H42" i="9"/>
  <c r="H43" i="9" s="1"/>
  <c r="Q36" i="9"/>
  <c r="I36" i="9"/>
  <c r="O30" i="9"/>
  <c r="G30" i="9"/>
  <c r="O24" i="9"/>
  <c r="G24" i="9"/>
  <c r="R18" i="9"/>
  <c r="L18" i="9"/>
  <c r="G18" i="9"/>
  <c r="S12" i="9"/>
  <c r="O12" i="9"/>
  <c r="K12" i="9"/>
  <c r="G12" i="9"/>
  <c r="S6" i="9"/>
  <c r="S7" i="9" s="1"/>
  <c r="O6" i="9"/>
  <c r="O7" i="9" s="1"/>
  <c r="K6" i="9"/>
  <c r="K7" i="9" s="1"/>
  <c r="G6" i="9"/>
  <c r="G7" i="9" s="1"/>
  <c r="N72" i="9"/>
  <c r="N66" i="9"/>
  <c r="K60" i="9"/>
  <c r="M72" i="9"/>
  <c r="K66" i="9"/>
  <c r="R60" i="9"/>
  <c r="G60" i="9"/>
  <c r="M54" i="9"/>
  <c r="N48" i="9"/>
  <c r="N42" i="9"/>
  <c r="M36" i="9"/>
  <c r="S30" i="9"/>
  <c r="K30" i="9"/>
  <c r="S24" i="9"/>
  <c r="K24" i="9"/>
  <c r="T18" i="9"/>
  <c r="O18" i="9"/>
  <c r="J18" i="9"/>
  <c r="Q12" i="9"/>
  <c r="M12" i="9"/>
  <c r="I12" i="9"/>
  <c r="Q6" i="9"/>
  <c r="Q7" i="9" s="1"/>
  <c r="M6" i="9"/>
  <c r="M7" i="9" s="1"/>
  <c r="I6" i="9"/>
  <c r="I7" i="9" s="1"/>
  <c r="F72" i="9"/>
  <c r="F66" i="9"/>
  <c r="L6" i="9"/>
  <c r="L7" i="9" s="1"/>
  <c r="T6" i="9"/>
  <c r="T7" i="9" s="1"/>
  <c r="L12" i="9"/>
  <c r="T12" i="9"/>
  <c r="F18" i="9"/>
  <c r="P18" i="9"/>
  <c r="L24" i="9"/>
  <c r="N30" i="9"/>
  <c r="R36" i="9"/>
  <c r="O48" i="9"/>
  <c r="F6" i="9"/>
  <c r="F7" i="9" s="1"/>
  <c r="N6" i="9"/>
  <c r="N7" i="9" s="1"/>
  <c r="F12" i="9"/>
  <c r="N12" i="9"/>
  <c r="H18" i="9"/>
  <c r="S18" i="9"/>
  <c r="P24" i="9"/>
  <c r="R30" i="9"/>
  <c r="F36" i="9"/>
  <c r="J42" i="9"/>
  <c r="I54" i="9"/>
  <c r="F60" i="9"/>
  <c r="C2" i="6"/>
  <c r="G9" i="6"/>
  <c r="H9" i="6"/>
  <c r="H10" i="6" s="1"/>
  <c r="I9" i="6"/>
  <c r="I10" i="6" s="1"/>
  <c r="J9" i="6"/>
  <c r="J10" i="6" s="1"/>
  <c r="K9" i="6"/>
  <c r="K10" i="6" s="1"/>
  <c r="L9" i="6"/>
  <c r="L10" i="6" s="1"/>
  <c r="M9" i="6"/>
  <c r="M10" i="6" s="1"/>
  <c r="N9" i="6"/>
  <c r="N10" i="6" s="1"/>
  <c r="O9" i="6"/>
  <c r="O10" i="6" s="1"/>
  <c r="P9" i="6"/>
  <c r="P10" i="6" s="1"/>
  <c r="Q9" i="6"/>
  <c r="Q10" i="6" s="1"/>
  <c r="R9" i="6"/>
  <c r="R10" i="6" s="1"/>
  <c r="S9" i="6"/>
  <c r="S10" i="6" s="1"/>
  <c r="T9" i="6"/>
  <c r="T10" i="6" s="1"/>
  <c r="F9" i="6"/>
  <c r="F10" i="6" s="1"/>
  <c r="E49" i="4"/>
  <c r="C49" i="4" s="1"/>
  <c r="D49" i="4"/>
  <c r="B49" i="4" s="1"/>
  <c r="C48" i="4"/>
  <c r="D48" i="4"/>
  <c r="B48" i="4" s="1"/>
  <c r="E45" i="4"/>
  <c r="C45" i="4" s="1"/>
  <c r="D45" i="4"/>
  <c r="B45" i="4" s="1"/>
  <c r="E44" i="4"/>
  <c r="C44" i="4" s="1"/>
  <c r="D44" i="4"/>
  <c r="B44" i="4" s="1"/>
  <c r="E41" i="4"/>
  <c r="C41" i="4" s="1"/>
  <c r="D41" i="4"/>
  <c r="B41" i="4" s="1"/>
  <c r="E40" i="4"/>
  <c r="C40" i="4" s="1"/>
  <c r="D40" i="4"/>
  <c r="B40" i="4" s="1"/>
  <c r="E37" i="4"/>
  <c r="C37" i="4" s="1"/>
  <c r="D37" i="4"/>
  <c r="B37" i="4" s="1"/>
  <c r="E36" i="4"/>
  <c r="D36" i="4"/>
  <c r="B36" i="4" s="1"/>
  <c r="E33" i="4"/>
  <c r="C33" i="4" s="1"/>
  <c r="D33" i="4"/>
  <c r="B33" i="4" s="1"/>
  <c r="E32" i="4"/>
  <c r="D32" i="4"/>
  <c r="B32" i="4" s="1"/>
  <c r="E29" i="4"/>
  <c r="D29" i="4"/>
  <c r="B29" i="4" s="1"/>
  <c r="E28" i="4"/>
  <c r="C28" i="4" s="1"/>
  <c r="D28" i="4"/>
  <c r="B28" i="4" s="1"/>
  <c r="E25" i="4"/>
  <c r="C25" i="4" s="1"/>
  <c r="D25" i="4"/>
  <c r="B25" i="4" s="1"/>
  <c r="E24" i="4"/>
  <c r="D24" i="4"/>
  <c r="B24" i="4" s="1"/>
  <c r="E21" i="4"/>
  <c r="C21" i="4" s="1"/>
  <c r="D21" i="4"/>
  <c r="B21" i="4" s="1"/>
  <c r="E20" i="4"/>
  <c r="D20" i="4"/>
  <c r="B20" i="4" s="1"/>
  <c r="E17" i="4"/>
  <c r="C17" i="4" s="1"/>
  <c r="D17" i="4"/>
  <c r="B17" i="4" s="1"/>
  <c r="E16" i="4"/>
  <c r="C16" i="4" s="1"/>
  <c r="D16" i="4"/>
  <c r="B16" i="4" s="1"/>
  <c r="D13" i="4"/>
  <c r="B13" i="4" s="1"/>
  <c r="E12" i="4"/>
  <c r="C12" i="4" s="1"/>
  <c r="D12" i="4"/>
  <c r="B12" i="4" s="1"/>
  <c r="E9" i="4"/>
  <c r="C9" i="4" s="1"/>
  <c r="D9" i="4"/>
  <c r="B9" i="4" s="1"/>
  <c r="E8" i="4"/>
  <c r="D8" i="4"/>
  <c r="B8" i="4" s="1"/>
  <c r="N17" i="6" l="1"/>
  <c r="N11" i="4"/>
  <c r="M20" i="6"/>
  <c r="M15" i="6"/>
  <c r="P19" i="9"/>
  <c r="N13" i="8"/>
  <c r="J73" i="8"/>
  <c r="H19" i="9"/>
  <c r="H37" i="9"/>
  <c r="H61" i="9"/>
  <c r="H49" i="9"/>
  <c r="H25" i="9"/>
  <c r="F7" i="8"/>
  <c r="F13" i="8"/>
  <c r="F19" i="8"/>
  <c r="R73" i="8"/>
  <c r="M19" i="8"/>
  <c r="M7" i="8"/>
  <c r="H7" i="8"/>
  <c r="H13" i="8"/>
  <c r="H19" i="8"/>
  <c r="G7" i="8"/>
  <c r="G13" i="8"/>
  <c r="G19" i="8"/>
  <c r="J31" i="8"/>
  <c r="J7" i="8"/>
  <c r="J61" i="8"/>
  <c r="E7" i="9"/>
  <c r="E9" i="9" s="1"/>
  <c r="F3" i="13" s="1"/>
  <c r="S7" i="8"/>
  <c r="J37" i="8"/>
  <c r="N7" i="8"/>
  <c r="I19" i="8"/>
  <c r="I7" i="8"/>
  <c r="I13" i="8"/>
  <c r="H20" i="11"/>
  <c r="F68" i="12"/>
  <c r="D68" i="7"/>
  <c r="B13" i="14" s="1"/>
  <c r="F26" i="12"/>
  <c r="D26" i="7"/>
  <c r="B6" i="14" s="1"/>
  <c r="F32" i="12"/>
  <c r="D32" i="7"/>
  <c r="B7" i="14" s="1"/>
  <c r="D20" i="7"/>
  <c r="B5" i="14" s="1"/>
  <c r="F20" i="11"/>
  <c r="F44" i="12"/>
  <c r="D44" i="7"/>
  <c r="B9" i="14" s="1"/>
  <c r="D50" i="7"/>
  <c r="B10" i="14" s="1"/>
  <c r="F74" i="11"/>
  <c r="D74" i="7"/>
  <c r="B14" i="14" s="1"/>
  <c r="F14" i="12"/>
  <c r="D14" i="7"/>
  <c r="B4" i="14" s="1"/>
  <c r="F20" i="12"/>
  <c r="D38" i="7"/>
  <c r="B8" i="14" s="1"/>
  <c r="I62" i="12"/>
  <c r="D62" i="7"/>
  <c r="B12" i="14" s="1"/>
  <c r="G56" i="12"/>
  <c r="D56" i="7"/>
  <c r="B11" i="14" s="1"/>
  <c r="O38" i="12"/>
  <c r="G14" i="12"/>
  <c r="I62" i="11"/>
  <c r="K20" i="11"/>
  <c r="P38" i="11"/>
  <c r="I14" i="12"/>
  <c r="P68" i="11"/>
  <c r="I44" i="11"/>
  <c r="L68" i="11"/>
  <c r="N56" i="12"/>
  <c r="G32" i="11"/>
  <c r="M62" i="12"/>
  <c r="J56" i="11"/>
  <c r="Q14" i="12"/>
  <c r="E38" i="7"/>
  <c r="C8" i="14" s="1"/>
  <c r="H50" i="11"/>
  <c r="N38" i="12"/>
  <c r="H38" i="12"/>
  <c r="Q44" i="11"/>
  <c r="M26" i="12"/>
  <c r="R14" i="11"/>
  <c r="K14" i="11"/>
  <c r="H74" i="12"/>
  <c r="T68" i="11"/>
  <c r="Q62" i="11"/>
  <c r="R56" i="11"/>
  <c r="G20" i="11"/>
  <c r="T50" i="12"/>
  <c r="F68" i="11"/>
  <c r="T38" i="11"/>
  <c r="T74" i="11"/>
  <c r="L14" i="12"/>
  <c r="H68" i="11"/>
  <c r="P74" i="12"/>
  <c r="G56" i="11"/>
  <c r="I56" i="11"/>
  <c r="P44" i="11"/>
  <c r="N32" i="11"/>
  <c r="M14" i="12"/>
  <c r="Q56" i="11"/>
  <c r="P50" i="11"/>
  <c r="F14" i="11"/>
  <c r="M68" i="12"/>
  <c r="I50" i="11"/>
  <c r="H44" i="11"/>
  <c r="G38" i="11"/>
  <c r="F32" i="11"/>
  <c r="Q74" i="11"/>
  <c r="M56" i="12"/>
  <c r="L50" i="12"/>
  <c r="L74" i="11"/>
  <c r="J20" i="11"/>
  <c r="G74" i="11"/>
  <c r="R62" i="11"/>
  <c r="P14" i="11"/>
  <c r="M50" i="11"/>
  <c r="T44" i="11"/>
  <c r="L44" i="11"/>
  <c r="S38" i="11"/>
  <c r="K38" i="11"/>
  <c r="R32" i="11"/>
  <c r="J32" i="11"/>
  <c r="Q26" i="11"/>
  <c r="I26" i="11"/>
  <c r="M74" i="11"/>
  <c r="J62" i="11"/>
  <c r="M44" i="11"/>
  <c r="H14" i="11"/>
  <c r="R26" i="11"/>
  <c r="F62" i="12"/>
  <c r="C11" i="6"/>
  <c r="F12" i="6" s="1"/>
  <c r="I32" i="11"/>
  <c r="N74" i="12"/>
  <c r="Q32" i="11"/>
  <c r="J14" i="12"/>
  <c r="O14" i="11"/>
  <c r="M32" i="12"/>
  <c r="E32" i="12" s="1"/>
  <c r="E33" i="12" s="1"/>
  <c r="L7" i="13" s="1"/>
  <c r="L20" i="11"/>
  <c r="E26" i="7"/>
  <c r="C6" i="14" s="1"/>
  <c r="Q68" i="11"/>
  <c r="I68" i="11"/>
  <c r="H38" i="11"/>
  <c r="E74" i="8"/>
  <c r="E62" i="9"/>
  <c r="E50" i="10"/>
  <c r="E51" i="10" s="1"/>
  <c r="H10" i="13" s="1"/>
  <c r="E38" i="8"/>
  <c r="E26" i="10"/>
  <c r="E27" i="10" s="1"/>
  <c r="H6" i="13" s="1"/>
  <c r="E26" i="9"/>
  <c r="E14" i="8"/>
  <c r="E38" i="10"/>
  <c r="E39" i="10" s="1"/>
  <c r="H8" i="13" s="1"/>
  <c r="E26" i="8"/>
  <c r="E68" i="7"/>
  <c r="C13" i="14" s="1"/>
  <c r="N62" i="12"/>
  <c r="F26" i="11"/>
  <c r="S56" i="11"/>
  <c r="E14" i="9"/>
  <c r="E68" i="10"/>
  <c r="E69" i="10" s="1"/>
  <c r="H13" i="13" s="1"/>
  <c r="E32" i="8"/>
  <c r="E68" i="8"/>
  <c r="E38" i="9"/>
  <c r="E74" i="10"/>
  <c r="E75" i="10" s="1"/>
  <c r="H14" i="13" s="1"/>
  <c r="E50" i="8"/>
  <c r="E32" i="10"/>
  <c r="E33" i="10" s="1"/>
  <c r="H7" i="13" s="1"/>
  <c r="E74" i="7"/>
  <c r="C14" i="14" s="1"/>
  <c r="E50" i="9"/>
  <c r="E32" i="9"/>
  <c r="E14" i="10"/>
  <c r="E15" i="10" s="1"/>
  <c r="H4" i="13" s="1"/>
  <c r="N14" i="12"/>
  <c r="K74" i="12"/>
  <c r="E56" i="8"/>
  <c r="E62" i="10"/>
  <c r="E63" i="10" s="1"/>
  <c r="H12" i="13" s="1"/>
  <c r="E44" i="8"/>
  <c r="E44" i="9"/>
  <c r="E68" i="9"/>
  <c r="E44" i="7"/>
  <c r="C9" i="14" s="1"/>
  <c r="M20" i="12"/>
  <c r="I20" i="12"/>
  <c r="S14" i="11"/>
  <c r="O32" i="11"/>
  <c r="J74" i="12"/>
  <c r="G44" i="12"/>
  <c r="F74" i="12"/>
  <c r="F44" i="11"/>
  <c r="O74" i="11"/>
  <c r="S74" i="11"/>
  <c r="E14" i="7"/>
  <c r="K56" i="11"/>
  <c r="E32" i="7"/>
  <c r="C7" i="14" s="1"/>
  <c r="I74" i="12"/>
  <c r="E62" i="8"/>
  <c r="K44" i="11"/>
  <c r="R74" i="12"/>
  <c r="T14" i="11"/>
  <c r="E50" i="7"/>
  <c r="C10" i="14" s="1"/>
  <c r="N50" i="11"/>
  <c r="R50" i="12"/>
  <c r="E56" i="10"/>
  <c r="E57" i="10" s="1"/>
  <c r="H11" i="13" s="1"/>
  <c r="E74" i="9"/>
  <c r="E44" i="10"/>
  <c r="E45" i="10" s="1"/>
  <c r="H9" i="13" s="1"/>
  <c r="E56" i="7"/>
  <c r="C11" i="14" s="1"/>
  <c r="G62" i="11"/>
  <c r="E62" i="7"/>
  <c r="C12" i="14" s="1"/>
  <c r="E56" i="9"/>
  <c r="C9" i="6"/>
  <c r="G10" i="6"/>
  <c r="M55" i="8"/>
  <c r="M73" i="8"/>
  <c r="M31" i="8"/>
  <c r="P67" i="9"/>
  <c r="N43" i="8"/>
  <c r="M61" i="8"/>
  <c r="N61" i="8"/>
  <c r="N25" i="8"/>
  <c r="Q37" i="8"/>
  <c r="P31" i="9"/>
  <c r="P73" i="9"/>
  <c r="J43" i="8"/>
  <c r="J67" i="8"/>
  <c r="P55" i="9"/>
  <c r="P37" i="9"/>
  <c r="P61" i="9"/>
  <c r="P13" i="9"/>
  <c r="E12" i="8"/>
  <c r="Q49" i="8"/>
  <c r="M67" i="8"/>
  <c r="N73" i="8"/>
  <c r="E36" i="8"/>
  <c r="J49" i="8"/>
  <c r="P25" i="9"/>
  <c r="P43" i="9"/>
  <c r="J19" i="8"/>
  <c r="P49" i="9"/>
  <c r="F55" i="8"/>
  <c r="F73" i="8"/>
  <c r="Q61" i="8"/>
  <c r="Q19" i="8"/>
  <c r="E18" i="8"/>
  <c r="E42" i="8"/>
  <c r="E54" i="8"/>
  <c r="E72" i="8"/>
  <c r="Q55" i="8"/>
  <c r="E66" i="9"/>
  <c r="E24" i="8"/>
  <c r="E30" i="8"/>
  <c r="E66" i="8"/>
  <c r="E60" i="8"/>
  <c r="E48" i="8"/>
  <c r="E30" i="9"/>
  <c r="N25" i="9"/>
  <c r="N61" i="9"/>
  <c r="N49" i="9"/>
  <c r="N43" i="9"/>
  <c r="N73" i="9"/>
  <c r="N67" i="9"/>
  <c r="N55" i="9"/>
  <c r="N19" i="9"/>
  <c r="N13" i="9"/>
  <c r="N31" i="9"/>
  <c r="N37" i="9"/>
  <c r="Q67" i="9"/>
  <c r="Q43" i="9"/>
  <c r="Q55" i="9"/>
  <c r="Q31" i="9"/>
  <c r="Q19" i="9"/>
  <c r="Q73" i="9"/>
  <c r="Q49" i="9"/>
  <c r="Q25" i="9"/>
  <c r="Q37" i="9"/>
  <c r="Q61" i="9"/>
  <c r="Q13" i="9"/>
  <c r="E48" i="9"/>
  <c r="E54" i="9"/>
  <c r="F55" i="9"/>
  <c r="F25" i="9"/>
  <c r="F49" i="9"/>
  <c r="F43" i="9"/>
  <c r="F61" i="9"/>
  <c r="E6" i="9"/>
  <c r="F73" i="9"/>
  <c r="F67" i="9"/>
  <c r="F37" i="9"/>
  <c r="F13" i="9"/>
  <c r="F31" i="9"/>
  <c r="F19" i="9"/>
  <c r="R73" i="9"/>
  <c r="R67" i="9"/>
  <c r="R49" i="9"/>
  <c r="R43" i="9"/>
  <c r="R25" i="9"/>
  <c r="R61" i="9"/>
  <c r="R19" i="9"/>
  <c r="R55" i="9"/>
  <c r="R31" i="9"/>
  <c r="R37" i="9"/>
  <c r="R13" i="9"/>
  <c r="E60" i="9"/>
  <c r="E36" i="9"/>
  <c r="T73" i="9"/>
  <c r="T61" i="9"/>
  <c r="T49" i="9"/>
  <c r="T67" i="9"/>
  <c r="T37" i="9"/>
  <c r="T31" i="9"/>
  <c r="T55" i="9"/>
  <c r="T19" i="9"/>
  <c r="T13" i="9"/>
  <c r="T43" i="9"/>
  <c r="T25" i="9"/>
  <c r="I67" i="9"/>
  <c r="I43" i="9"/>
  <c r="I31" i="9"/>
  <c r="I19" i="9"/>
  <c r="I73" i="9"/>
  <c r="I61" i="9"/>
  <c r="I25" i="9"/>
  <c r="I37" i="9"/>
  <c r="I49" i="9"/>
  <c r="I13" i="9"/>
  <c r="I55" i="9"/>
  <c r="K55" i="9"/>
  <c r="K73" i="9"/>
  <c r="K49" i="9"/>
  <c r="K43" i="9"/>
  <c r="K37" i="9"/>
  <c r="K13" i="9"/>
  <c r="K67" i="9"/>
  <c r="K31" i="9"/>
  <c r="K25" i="9"/>
  <c r="K19" i="9"/>
  <c r="K61" i="9"/>
  <c r="J73" i="9"/>
  <c r="J67" i="9"/>
  <c r="J61" i="9"/>
  <c r="J25" i="9"/>
  <c r="J55" i="9"/>
  <c r="J19" i="9"/>
  <c r="J43" i="9"/>
  <c r="J49" i="9"/>
  <c r="J37" i="9"/>
  <c r="J31" i="9"/>
  <c r="J13" i="9"/>
  <c r="S55" i="9"/>
  <c r="S73" i="9"/>
  <c r="S61" i="9"/>
  <c r="S37" i="9"/>
  <c r="S67" i="9"/>
  <c r="S13" i="9"/>
  <c r="S49" i="9"/>
  <c r="S43" i="9"/>
  <c r="S31" i="9"/>
  <c r="S25" i="9"/>
  <c r="S19" i="9"/>
  <c r="E72" i="9"/>
  <c r="G55" i="9"/>
  <c r="G73" i="9"/>
  <c r="G49" i="9"/>
  <c r="G43" i="9"/>
  <c r="G67" i="9"/>
  <c r="G37" i="9"/>
  <c r="G61" i="9"/>
  <c r="G31" i="9"/>
  <c r="G25" i="9"/>
  <c r="G19" i="9"/>
  <c r="G13" i="9"/>
  <c r="E42" i="9"/>
  <c r="E12" i="9"/>
  <c r="E18" i="9"/>
  <c r="L73" i="9"/>
  <c r="L61" i="9"/>
  <c r="L49" i="9"/>
  <c r="L67" i="9"/>
  <c r="L55" i="9"/>
  <c r="L43" i="9"/>
  <c r="L37" i="9"/>
  <c r="L31" i="9"/>
  <c r="L19" i="9"/>
  <c r="L25" i="9"/>
  <c r="L13" i="9"/>
  <c r="M67" i="9"/>
  <c r="M43" i="9"/>
  <c r="M49" i="9"/>
  <c r="M31" i="9"/>
  <c r="M19" i="9"/>
  <c r="M25" i="9"/>
  <c r="M55" i="9"/>
  <c r="M73" i="9"/>
  <c r="M61" i="9"/>
  <c r="M37" i="9"/>
  <c r="M13" i="9"/>
  <c r="O55" i="9"/>
  <c r="O73" i="9"/>
  <c r="O61" i="9"/>
  <c r="O67" i="9"/>
  <c r="O37" i="9"/>
  <c r="O31" i="9"/>
  <c r="O25" i="9"/>
  <c r="O13" i="9"/>
  <c r="O19" i="9"/>
  <c r="O43" i="9"/>
  <c r="O49" i="9"/>
  <c r="E24" i="9"/>
  <c r="F37" i="8"/>
  <c r="M49" i="8"/>
  <c r="F31" i="8"/>
  <c r="N55" i="8"/>
  <c r="N19" i="8"/>
  <c r="N37" i="8"/>
  <c r="J25" i="8"/>
  <c r="N31" i="8"/>
  <c r="R67" i="8"/>
  <c r="R31" i="8"/>
  <c r="I73" i="8"/>
  <c r="I43" i="8"/>
  <c r="I37" i="8"/>
  <c r="H49" i="8"/>
  <c r="H37" i="8"/>
  <c r="H61" i="8"/>
  <c r="H31" i="8"/>
  <c r="H55" i="8"/>
  <c r="H25" i="8"/>
  <c r="H73" i="8"/>
  <c r="H43" i="8"/>
  <c r="H67" i="8"/>
  <c r="G67" i="8"/>
  <c r="G55" i="8"/>
  <c r="G25" i="8"/>
  <c r="G49" i="8"/>
  <c r="G37" i="8"/>
  <c r="G61" i="8"/>
  <c r="G31" i="8"/>
  <c r="G73" i="8"/>
  <c r="G43" i="8"/>
  <c r="R55" i="8"/>
  <c r="I31" i="8"/>
  <c r="E6" i="8"/>
  <c r="I67" i="8"/>
  <c r="I25" i="8"/>
  <c r="F67" i="8"/>
  <c r="F61" i="8"/>
  <c r="T37" i="8"/>
  <c r="T67" i="8"/>
  <c r="T55" i="8"/>
  <c r="T49" i="8"/>
  <c r="T31" i="8"/>
  <c r="T61" i="8"/>
  <c r="T25" i="8"/>
  <c r="T43" i="8"/>
  <c r="T73" i="8"/>
  <c r="T19" i="8"/>
  <c r="T13" i="8"/>
  <c r="S73" i="8"/>
  <c r="S61" i="8"/>
  <c r="S25" i="8"/>
  <c r="S19" i="8"/>
  <c r="S13" i="8"/>
  <c r="S37" i="8"/>
  <c r="S67" i="8"/>
  <c r="S31" i="8"/>
  <c r="S55" i="8"/>
  <c r="S49" i="8"/>
  <c r="S43" i="8"/>
  <c r="I49" i="8"/>
  <c r="R19" i="8"/>
  <c r="R13" i="8"/>
  <c r="I55" i="8"/>
  <c r="R43" i="8"/>
  <c r="R49" i="8"/>
  <c r="F25" i="8"/>
  <c r="F49" i="8"/>
  <c r="Q25" i="8"/>
  <c r="Q13" i="8"/>
  <c r="P43" i="8"/>
  <c r="P73" i="8"/>
  <c r="P61" i="8"/>
  <c r="P31" i="8"/>
  <c r="P19" i="8"/>
  <c r="P37" i="8"/>
  <c r="P13" i="8"/>
  <c r="P67" i="8"/>
  <c r="P25" i="8"/>
  <c r="P55" i="8"/>
  <c r="P49" i="8"/>
  <c r="O67" i="8"/>
  <c r="O55" i="8"/>
  <c r="O49" i="8"/>
  <c r="O43" i="8"/>
  <c r="O73" i="8"/>
  <c r="O19" i="8"/>
  <c r="O37" i="8"/>
  <c r="O13" i="8"/>
  <c r="O61" i="8"/>
  <c r="O31" i="8"/>
  <c r="O25" i="8"/>
  <c r="R61" i="8"/>
  <c r="J55" i="8"/>
  <c r="Q31" i="8"/>
  <c r="J13" i="8"/>
  <c r="Q67" i="8"/>
  <c r="I61" i="8"/>
  <c r="R37" i="8"/>
  <c r="R25" i="8"/>
  <c r="Q43" i="8"/>
  <c r="Q73" i="8"/>
  <c r="F43" i="8"/>
  <c r="N67" i="8"/>
  <c r="N49" i="8"/>
  <c r="M37" i="8"/>
  <c r="M25" i="8"/>
  <c r="M13" i="8"/>
  <c r="M43" i="8"/>
  <c r="L67" i="8"/>
  <c r="L55" i="8"/>
  <c r="L37" i="8"/>
  <c r="L25" i="8"/>
  <c r="L13" i="8"/>
  <c r="L49" i="8"/>
  <c r="L73" i="8"/>
  <c r="L43" i="8"/>
  <c r="L19" i="8"/>
  <c r="L61" i="8"/>
  <c r="L31" i="8"/>
  <c r="K73" i="8"/>
  <c r="K61" i="8"/>
  <c r="K43" i="8"/>
  <c r="K31" i="8"/>
  <c r="K19" i="8"/>
  <c r="K55" i="8"/>
  <c r="K25" i="8"/>
  <c r="K49" i="8"/>
  <c r="K67" i="8"/>
  <c r="K37" i="8"/>
  <c r="K13" i="8"/>
  <c r="K4" i="14"/>
  <c r="E23" i="4"/>
  <c r="C23" i="4" s="1"/>
  <c r="D43" i="4"/>
  <c r="B43" i="4" s="1"/>
  <c r="D47" i="4"/>
  <c r="B47" i="4" s="1"/>
  <c r="D11" i="4"/>
  <c r="B11" i="4" s="1"/>
  <c r="E43" i="4"/>
  <c r="C43" i="4" s="1"/>
  <c r="E7" i="4"/>
  <c r="C7" i="4" s="1"/>
  <c r="D15" i="4"/>
  <c r="B15" i="4" s="1"/>
  <c r="E27" i="4"/>
  <c r="C27" i="4" s="1"/>
  <c r="D7" i="4"/>
  <c r="B7" i="4" s="1"/>
  <c r="D19" i="4"/>
  <c r="B19" i="4" s="1"/>
  <c r="E31" i="4"/>
  <c r="C31" i="4" s="1"/>
  <c r="E35" i="4"/>
  <c r="C35" i="4" s="1"/>
  <c r="E47" i="4"/>
  <c r="C47" i="4" s="1"/>
  <c r="D23" i="4"/>
  <c r="B23" i="4" s="1"/>
  <c r="D31" i="4"/>
  <c r="B31" i="4" s="1"/>
  <c r="D35" i="4"/>
  <c r="B35" i="4" s="1"/>
  <c r="D39" i="4"/>
  <c r="B39" i="4" s="1"/>
  <c r="E19" i="4"/>
  <c r="C19" i="4" s="1"/>
  <c r="D27" i="4"/>
  <c r="B27" i="4" s="1"/>
  <c r="E15" i="4"/>
  <c r="C15" i="4" s="1"/>
  <c r="E39" i="4"/>
  <c r="C39" i="4" s="1"/>
  <c r="C8" i="4"/>
  <c r="C20" i="4"/>
  <c r="C24" i="4"/>
  <c r="C29" i="4"/>
  <c r="C32" i="4"/>
  <c r="C36" i="4"/>
  <c r="N20" i="7" l="1"/>
  <c r="N20" i="9"/>
  <c r="N20" i="8"/>
  <c r="N20" i="10"/>
  <c r="N15" i="6"/>
  <c r="N20" i="6"/>
  <c r="O17" i="6"/>
  <c r="O11" i="4"/>
  <c r="E26" i="12"/>
  <c r="E27" i="12" s="1"/>
  <c r="L6" i="13" s="1"/>
  <c r="E68" i="12"/>
  <c r="E69" i="12" s="1"/>
  <c r="L13" i="13" s="1"/>
  <c r="R11" i="6"/>
  <c r="R12" i="6" s="1"/>
  <c r="G11" i="6"/>
  <c r="G12" i="6" s="1"/>
  <c r="E7" i="8"/>
  <c r="E9" i="8" s="1"/>
  <c r="D3" i="13" s="1"/>
  <c r="E44" i="12"/>
  <c r="E45" i="12" s="1"/>
  <c r="L9" i="13" s="1"/>
  <c r="E75" i="7"/>
  <c r="D14" i="14" s="1"/>
  <c r="E51" i="7"/>
  <c r="D10" i="14" s="1"/>
  <c r="E15" i="7"/>
  <c r="C4" i="14"/>
  <c r="E45" i="7"/>
  <c r="D9" i="14" s="1"/>
  <c r="E27" i="7"/>
  <c r="D6" i="14" s="1"/>
  <c r="E39" i="7"/>
  <c r="D8" i="14" s="1"/>
  <c r="E33" i="7"/>
  <c r="D7" i="14" s="1"/>
  <c r="E69" i="7"/>
  <c r="D13" i="14" s="1"/>
  <c r="E63" i="7"/>
  <c r="D12" i="14" s="1"/>
  <c r="K5" i="14"/>
  <c r="E57" i="7"/>
  <c r="D11" i="14" s="1"/>
  <c r="E38" i="12"/>
  <c r="E39" i="12" s="1"/>
  <c r="L8" i="13" s="1"/>
  <c r="E56" i="12"/>
  <c r="E57" i="12" s="1"/>
  <c r="L11" i="13" s="1"/>
  <c r="E14" i="12"/>
  <c r="E15" i="12" s="1"/>
  <c r="L4" i="13" s="1"/>
  <c r="E50" i="12"/>
  <c r="E51" i="12" s="1"/>
  <c r="L10" i="13" s="1"/>
  <c r="E68" i="11"/>
  <c r="E69" i="11" s="1"/>
  <c r="J13" i="13" s="1"/>
  <c r="E62" i="12"/>
  <c r="E63" i="12" s="1"/>
  <c r="L12" i="13" s="1"/>
  <c r="E62" i="11"/>
  <c r="E63" i="11" s="1"/>
  <c r="J12" i="13" s="1"/>
  <c r="E74" i="11"/>
  <c r="E75" i="11" s="1"/>
  <c r="J14" i="13" s="1"/>
  <c r="E50" i="11"/>
  <c r="E51" i="11" s="1"/>
  <c r="J10" i="13" s="1"/>
  <c r="E26" i="11"/>
  <c r="E27" i="11" s="1"/>
  <c r="J6" i="13" s="1"/>
  <c r="E38" i="11"/>
  <c r="E39" i="11" s="1"/>
  <c r="J8" i="13" s="1"/>
  <c r="E32" i="11"/>
  <c r="E33" i="11" s="1"/>
  <c r="J7" i="13" s="1"/>
  <c r="E56" i="11"/>
  <c r="E57" i="11" s="1"/>
  <c r="J11" i="13" s="1"/>
  <c r="E14" i="11"/>
  <c r="E15" i="11" s="1"/>
  <c r="J4" i="13" s="1"/>
  <c r="E74" i="12"/>
  <c r="E75" i="12" s="1"/>
  <c r="L14" i="13" s="1"/>
  <c r="E44" i="11"/>
  <c r="E45" i="11" s="1"/>
  <c r="J9" i="13" s="1"/>
  <c r="T11" i="6"/>
  <c r="T12" i="6" s="1"/>
  <c r="O11" i="6"/>
  <c r="O12" i="6" s="1"/>
  <c r="P11" i="6"/>
  <c r="P12" i="6" s="1"/>
  <c r="N11" i="6"/>
  <c r="N12" i="6" s="1"/>
  <c r="Q11" i="6"/>
  <c r="Q12" i="6" s="1"/>
  <c r="H11" i="6"/>
  <c r="H12" i="6" s="1"/>
  <c r="J11" i="6"/>
  <c r="J12" i="6" s="1"/>
  <c r="I11" i="6"/>
  <c r="I12" i="6" s="1"/>
  <c r="S11" i="6"/>
  <c r="S12" i="6" s="1"/>
  <c r="M11" i="6"/>
  <c r="M12" i="6" s="1"/>
  <c r="L11" i="6"/>
  <c r="L12" i="6" s="1"/>
  <c r="K11" i="6"/>
  <c r="K12" i="6" s="1"/>
  <c r="E67" i="8"/>
  <c r="E69" i="8" s="1"/>
  <c r="D13" i="13" s="1"/>
  <c r="E19" i="9"/>
  <c r="E25" i="9"/>
  <c r="E27" i="9" s="1"/>
  <c r="F6" i="13" s="1"/>
  <c r="E31" i="9"/>
  <c r="E33" i="9" s="1"/>
  <c r="F7" i="13" s="1"/>
  <c r="E73" i="9"/>
  <c r="E75" i="9" s="1"/>
  <c r="F14" i="13" s="1"/>
  <c r="E55" i="9"/>
  <c r="E57" i="9" s="1"/>
  <c r="F11" i="13" s="1"/>
  <c r="E13" i="9"/>
  <c r="E15" i="9" s="1"/>
  <c r="F4" i="13" s="1"/>
  <c r="E43" i="9"/>
  <c r="E45" i="9" s="1"/>
  <c r="F9" i="13" s="1"/>
  <c r="E67" i="9"/>
  <c r="E69" i="9" s="1"/>
  <c r="F13" i="13" s="1"/>
  <c r="E37" i="9"/>
  <c r="E39" i="9" s="1"/>
  <c r="F8" i="13" s="1"/>
  <c r="E61" i="9"/>
  <c r="E63" i="9" s="1"/>
  <c r="F12" i="13" s="1"/>
  <c r="E49" i="9"/>
  <c r="E51" i="9" s="1"/>
  <c r="F10" i="13" s="1"/>
  <c r="E73" i="8"/>
  <c r="E75" i="8" s="1"/>
  <c r="D14" i="13" s="1"/>
  <c r="E49" i="8"/>
  <c r="E51" i="8" s="1"/>
  <c r="D10" i="13" s="1"/>
  <c r="E37" i="8"/>
  <c r="E39" i="8" s="1"/>
  <c r="D8" i="13" s="1"/>
  <c r="E31" i="8"/>
  <c r="E33" i="8" s="1"/>
  <c r="D7" i="13" s="1"/>
  <c r="E19" i="8"/>
  <c r="E55" i="8"/>
  <c r="E57" i="8" s="1"/>
  <c r="D11" i="13" s="1"/>
  <c r="E61" i="8"/>
  <c r="E63" i="8" s="1"/>
  <c r="D12" i="13" s="1"/>
  <c r="E13" i="8"/>
  <c r="E15" i="8" s="1"/>
  <c r="D4" i="13" s="1"/>
  <c r="E43" i="8"/>
  <c r="E45" i="8" s="1"/>
  <c r="D9" i="13" s="1"/>
  <c r="E25" i="8"/>
  <c r="E27" i="8" s="1"/>
  <c r="D6" i="13" s="1"/>
  <c r="P17" i="6" l="1"/>
  <c r="P11" i="4"/>
  <c r="O20" i="9"/>
  <c r="O20" i="8"/>
  <c r="O20" i="7"/>
  <c r="O20" i="10"/>
  <c r="N20" i="12"/>
  <c r="N20" i="11"/>
  <c r="O20" i="6"/>
  <c r="O15" i="6"/>
  <c r="O3" i="13"/>
  <c r="B12" i="13"/>
  <c r="B13" i="13"/>
  <c r="B7" i="13"/>
  <c r="B6" i="13"/>
  <c r="B4" i="13"/>
  <c r="D4" i="14"/>
  <c r="B10" i="13"/>
  <c r="B8" i="13"/>
  <c r="B9" i="13"/>
  <c r="B14" i="13"/>
  <c r="B11" i="13"/>
  <c r="O20" i="11" l="1"/>
  <c r="O20" i="12"/>
  <c r="P20" i="8"/>
  <c r="P20" i="10"/>
  <c r="P20" i="7"/>
  <c r="P20" i="9"/>
  <c r="P20" i="6"/>
  <c r="P15" i="6"/>
  <c r="Q17" i="6"/>
  <c r="Q11" i="4"/>
  <c r="O12" i="13"/>
  <c r="O8" i="13"/>
  <c r="O4" i="13"/>
  <c r="O7" i="13"/>
  <c r="O14" i="13"/>
  <c r="O9" i="13"/>
  <c r="O10" i="13"/>
  <c r="O6" i="13"/>
  <c r="O13" i="13"/>
  <c r="O11" i="13"/>
  <c r="Q20" i="7" l="1"/>
  <c r="Q20" i="10"/>
  <c r="Q20" i="9"/>
  <c r="Q20" i="8"/>
  <c r="P20" i="11"/>
  <c r="P20" i="12"/>
  <c r="Q20" i="6"/>
  <c r="Q15" i="6"/>
  <c r="R17" i="6"/>
  <c r="R11" i="4"/>
  <c r="R20" i="7" l="1"/>
  <c r="R20" i="8"/>
  <c r="R20" i="10"/>
  <c r="R20" i="9"/>
  <c r="Q20" i="12"/>
  <c r="Q20" i="11"/>
  <c r="R15" i="6"/>
  <c r="R20" i="6"/>
  <c r="S17" i="6"/>
  <c r="E13" i="4"/>
  <c r="S11" i="4"/>
  <c r="C13" i="4" l="1"/>
  <c r="E11" i="4"/>
  <c r="C11" i="4" s="1"/>
  <c r="S20" i="6"/>
  <c r="S15" i="6"/>
  <c r="R20" i="11"/>
  <c r="R20" i="12"/>
  <c r="S20" i="9"/>
  <c r="S20" i="8"/>
  <c r="S20" i="7"/>
  <c r="S20" i="10"/>
  <c r="T17" i="6"/>
  <c r="T11" i="4"/>
  <c r="T20" i="10" l="1"/>
  <c r="E20" i="10" s="1"/>
  <c r="E21" i="10" s="1"/>
  <c r="H5" i="13" s="1"/>
  <c r="T20" i="8"/>
  <c r="E20" i="8" s="1"/>
  <c r="E21" i="8" s="1"/>
  <c r="D5" i="13" s="1"/>
  <c r="T20" i="9"/>
  <c r="E20" i="9" s="1"/>
  <c r="E21" i="9" s="1"/>
  <c r="F5" i="13" s="1"/>
  <c r="T20" i="7"/>
  <c r="E20" i="7" s="1"/>
  <c r="S20" i="11"/>
  <c r="S20" i="12"/>
  <c r="T20" i="6"/>
  <c r="E20" i="6" s="1"/>
  <c r="C20" i="6" s="1"/>
  <c r="T15" i="6"/>
  <c r="E17" i="6"/>
  <c r="C5" i="14" l="1"/>
  <c r="E21" i="7"/>
  <c r="G13" i="13"/>
  <c r="G11" i="13"/>
  <c r="G3" i="13"/>
  <c r="G12" i="13"/>
  <c r="G7" i="13"/>
  <c r="G8" i="13"/>
  <c r="G6" i="13"/>
  <c r="G9" i="13"/>
  <c r="G14" i="13"/>
  <c r="G5" i="13"/>
  <c r="G4" i="13"/>
  <c r="G10" i="13"/>
  <c r="C17" i="6"/>
  <c r="E15" i="6"/>
  <c r="E13" i="13"/>
  <c r="E8" i="13"/>
  <c r="E4" i="13"/>
  <c r="E6" i="13"/>
  <c r="E3" i="13"/>
  <c r="E14" i="13"/>
  <c r="E9" i="13"/>
  <c r="E5" i="13"/>
  <c r="E12" i="13"/>
  <c r="E10" i="13"/>
  <c r="E7" i="13"/>
  <c r="E11" i="13"/>
  <c r="I9" i="13"/>
  <c r="I12" i="13"/>
  <c r="I11" i="13"/>
  <c r="I7" i="13"/>
  <c r="I6" i="13"/>
  <c r="I14" i="13"/>
  <c r="I8" i="13"/>
  <c r="I5" i="13"/>
  <c r="I13" i="13"/>
  <c r="I3" i="13"/>
  <c r="I10" i="13"/>
  <c r="I4" i="13"/>
  <c r="T20" i="12"/>
  <c r="E20" i="12" s="1"/>
  <c r="E21" i="12" s="1"/>
  <c r="L5" i="13" s="1"/>
  <c r="T20" i="11"/>
  <c r="E20" i="11" s="1"/>
  <c r="E21" i="11" s="1"/>
  <c r="J5" i="13" s="1"/>
  <c r="K14" i="13" l="1"/>
  <c r="K7" i="13"/>
  <c r="K4" i="13"/>
  <c r="K13" i="13"/>
  <c r="K10" i="13"/>
  <c r="K6" i="13"/>
  <c r="K3" i="13"/>
  <c r="K9" i="13"/>
  <c r="K12" i="13"/>
  <c r="K8" i="13"/>
  <c r="K5" i="13"/>
  <c r="K11" i="13"/>
  <c r="D5" i="14"/>
  <c r="B5" i="13"/>
  <c r="M10" i="13"/>
  <c r="M8" i="13"/>
  <c r="M9" i="13"/>
  <c r="M7" i="13"/>
  <c r="M4" i="13"/>
  <c r="M13" i="13"/>
  <c r="M5" i="13"/>
  <c r="M3" i="13"/>
  <c r="M14" i="13"/>
  <c r="M11" i="13"/>
  <c r="M6" i="13"/>
  <c r="M12" i="13"/>
  <c r="C15" i="6"/>
  <c r="C10" i="6"/>
  <c r="O5" i="13" l="1"/>
  <c r="C3" i="13"/>
  <c r="C14" i="13"/>
  <c r="C10" i="13"/>
  <c r="C13" i="13"/>
  <c r="C5" i="13"/>
  <c r="C8" i="13"/>
  <c r="C7" i="13"/>
  <c r="C9" i="13"/>
  <c r="C6" i="13"/>
  <c r="C12" i="13"/>
  <c r="C11" i="13"/>
  <c r="C4" i="13"/>
  <c r="P14" i="13" l="1"/>
  <c r="E14" i="14" s="1"/>
  <c r="P5" i="13"/>
  <c r="E5" i="14" s="1"/>
  <c r="P3" i="13"/>
  <c r="E3" i="14" s="1"/>
  <c r="P12" i="13"/>
  <c r="E12" i="14" s="1"/>
  <c r="P4" i="13"/>
  <c r="E4" i="14" s="1"/>
  <c r="P6" i="13"/>
  <c r="E6" i="14" s="1"/>
  <c r="P13" i="13"/>
  <c r="E13" i="14" s="1"/>
  <c r="P11" i="13"/>
  <c r="E11" i="14" s="1"/>
  <c r="P9" i="13"/>
  <c r="E9" i="14" s="1"/>
  <c r="P10" i="13"/>
  <c r="E10" i="14" s="1"/>
  <c r="P7" i="13"/>
  <c r="E7" i="14" s="1"/>
  <c r="P8" i="13"/>
  <c r="E8" i="14" s="1"/>
</calcChain>
</file>

<file path=xl/sharedStrings.xml><?xml version="1.0" encoding="utf-8"?>
<sst xmlns="http://schemas.openxmlformats.org/spreadsheetml/2006/main" count="603" uniqueCount="99">
  <si>
    <t>Weighted Cost of EUSE</t>
  </si>
  <si>
    <t>Weighted EUSE (MVAh)</t>
  </si>
  <si>
    <t>Capital</t>
  </si>
  <si>
    <t>Operational</t>
  </si>
  <si>
    <t>Discount Rate</t>
  </si>
  <si>
    <t>2016-2020</t>
  </si>
  <si>
    <t>2016-2030</t>
  </si>
  <si>
    <t>Option costs ($2016 Real)</t>
  </si>
  <si>
    <t>Option 1a</t>
  </si>
  <si>
    <t>Option 1b</t>
  </si>
  <si>
    <t>Option 1c</t>
  </si>
  <si>
    <t>Option 1d</t>
  </si>
  <si>
    <t>Option 2</t>
  </si>
  <si>
    <t>Option 3</t>
  </si>
  <si>
    <t>Option 4</t>
  </si>
  <si>
    <t>Option 5a</t>
  </si>
  <si>
    <t>Option 5b</t>
  </si>
  <si>
    <t>Option 6</t>
  </si>
  <si>
    <t>Option 7</t>
  </si>
  <si>
    <t>Option costs ($M 2016 Real)</t>
  </si>
  <si>
    <t>Year</t>
  </si>
  <si>
    <t>Network option Capital</t>
  </si>
  <si>
    <t>Network option O&amp;M</t>
  </si>
  <si>
    <t>N - 1 Limit</t>
  </si>
  <si>
    <t>N Limit</t>
  </si>
  <si>
    <t>Total</t>
  </si>
  <si>
    <t>Do Nothing</t>
  </si>
  <si>
    <t>Benefit</t>
  </si>
  <si>
    <t>Cost of expected unserved energy ($)</t>
  </si>
  <si>
    <t>Net economic benefit</t>
  </si>
  <si>
    <t>Annualised costs ($)</t>
  </si>
  <si>
    <t>$M</t>
  </si>
  <si>
    <t>Annualised benefits ($)</t>
  </si>
  <si>
    <t>Benefits</t>
  </si>
  <si>
    <t>Costs</t>
  </si>
  <si>
    <t>Net Economic Benefit</t>
  </si>
  <si>
    <t>VCR</t>
  </si>
  <si>
    <t>Project Cost Sensitivity</t>
  </si>
  <si>
    <t>Option</t>
  </si>
  <si>
    <t>Net Economic Benefit ($)</t>
  </si>
  <si>
    <t>Discount Rate High
(8.26%)</t>
  </si>
  <si>
    <t>Investment Cost High
(+30%)</t>
  </si>
  <si>
    <t>Investment Cost Low
(-30%)</t>
  </si>
  <si>
    <t>VCR Low
(-20%)</t>
  </si>
  <si>
    <t>VCR High
(+20%)</t>
  </si>
  <si>
    <t>Rank</t>
  </si>
  <si>
    <t>Base (planning) scenario</t>
  </si>
  <si>
    <t>Option Selection</t>
  </si>
  <si>
    <t>Average Net Economic benefit ($)</t>
  </si>
  <si>
    <t>Overall Rank of Feasible Options</t>
  </si>
  <si>
    <t>Base (Do Nothing) Risk ($)</t>
  </si>
  <si>
    <t>Inflation Rate</t>
  </si>
  <si>
    <t>cables and two switchboards (existing building)</t>
  </si>
  <si>
    <t>cables and three switchboards (existing building)</t>
  </si>
  <si>
    <t>3rd transformer (existing building)</t>
  </si>
  <si>
    <t>cables, transformers and two switchboards (existing building)</t>
  </si>
  <si>
    <t>cables, transformers and two switchboards (new building)</t>
  </si>
  <si>
    <t>cables and three switchboards (new building)</t>
  </si>
  <si>
    <t>install three new switchboards (existing building)</t>
  </si>
  <si>
    <t>install one new switchboards (existing building)</t>
  </si>
  <si>
    <t>Replace two transformers (existing building)</t>
  </si>
  <si>
    <t>cables (existing building)</t>
  </si>
  <si>
    <t>cables and CBs (existing building)</t>
  </si>
  <si>
    <t>new zone substation (at alternative site)</t>
  </si>
  <si>
    <t>new cables, 2 switchboards (new building)</t>
  </si>
  <si>
    <t>install two new switchboards (existing building)</t>
  </si>
  <si>
    <t>Augmentation option</t>
  </si>
  <si>
    <t>2016-2020 project cost ($M, direct)</t>
  </si>
  <si>
    <t>Total lifecycle project cost (2016-2030) ($M, direct)</t>
  </si>
  <si>
    <t>NPV of net economic benefit ($M)</t>
  </si>
  <si>
    <t>Project ranking</t>
  </si>
  <si>
    <t>Option 1a - Upgrade 11 kV transformer cables and 11 kV switchboards and install a third 11 kV switchboard (in new switch-room building) in 2018</t>
  </si>
  <si>
    <t>Option 1b - Upgrade 11 kV transformer cables and 11 kV switchboards and install a third 11 kV switchboard (in existing switch-room building) in 2018</t>
  </si>
  <si>
    <t>Option 2 - Rebuild Flemington Zone Substation in 2018</t>
  </si>
  <si>
    <t>Option 3 - Establish a new zone substation to upgrade FT in 2018</t>
  </si>
  <si>
    <t>Option 4 - Install a third 66/11 kV transformer (in existing switch-room building) in 2018</t>
  </si>
  <si>
    <t>Option 6 - Upgrade 11 kV transformer cables (in existing switch-room building) in 2018</t>
  </si>
  <si>
    <t>Option 7 - Upgrade 11 kV transformer cables and 11 kV transformer circuit breakers (in existing switch-room building) in 2018</t>
  </si>
  <si>
    <t>offset</t>
  </si>
  <si>
    <t>Table 8-2: Market benefits of augmentation options relative to the base case</t>
  </si>
  <si>
    <t>yes</t>
  </si>
  <si>
    <t>Include Option in Ranking?</t>
  </si>
  <si>
    <t>Network augmentation capital cost</t>
  </si>
  <si>
    <t>Network augmentation operational and maintenance cost</t>
  </si>
  <si>
    <t>Total project expenditure (2016 – 2020)</t>
  </si>
  <si>
    <t>Table ES-1: Option 5a - cost estimate breakdown Table 9-1: Option 5a - Cost estimate breakdown</t>
  </si>
  <si>
    <t>DM capital setup cost</t>
  </si>
  <si>
    <t>Battery energy storage solution (7.25 MVAh)</t>
  </si>
  <si>
    <t>Battery energy storage solution (0.50 MVAh)</t>
  </si>
  <si>
    <t>Option 5a - Enrol DSM of 7.25 MVA in 2018, with commissioning of network Option 1b delayed to 2019</t>
  </si>
  <si>
    <t>Residual (Option 5b) Risk ($)</t>
  </si>
  <si>
    <t>NPV project cost ($M Real 2016)</t>
  </si>
  <si>
    <t>Option 1c - Upgrade 11 kV transformer cables and 11 kV switchboards (in new switch-room building) in 2018</t>
  </si>
  <si>
    <t>Option 1d - Upgrade 11 kV transformer cables and 11 kV switchboards (in existing switch-room building) in 2018</t>
  </si>
  <si>
    <t>Proposed preferred option</t>
  </si>
  <si>
    <t>Base Case - Do Nothing</t>
  </si>
  <si>
    <t>Option 5b - Install 7.25 MVAh of battery storage in 2018, with commissioning of network Option 1b delayed to 2019</t>
  </si>
  <si>
    <t>Real $2015</t>
  </si>
  <si>
    <t>O&amp;M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</si>
</sst>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0.0"/>
    <numFmt numFmtId="165" formatCode="_-&quot;$&quot;* #,##0_-;\-&quot;$&quot;* #,##0_-;_-&quot;$&quot;* &quot;-&quot;??_-;_-@_-"/>
    <numFmt numFmtId="166" formatCode="&quot;$&quot;#,##0.00"/>
    <numFmt numFmtId="167" formatCode="&quot;$&quot;#,##0"/>
    <numFmt numFmtId="168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Times New Roman"/>
      <family val="1"/>
    </font>
    <font>
      <sz val="9"/>
      <color theme="1"/>
      <name val="Arial"/>
      <family val="2"/>
    </font>
    <font>
      <b/>
      <sz val="9"/>
      <color rgb="FFFFFFFF"/>
      <name val="Arial"/>
      <family val="2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26CB6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/>
      <right style="double">
        <color rgb="FF26BCD7"/>
      </right>
      <top style="medium">
        <color rgb="FF26BCD7"/>
      </top>
      <bottom style="medium">
        <color rgb="FF26BCD7"/>
      </bottom>
      <diagonal/>
    </border>
    <border>
      <left/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/>
      <bottom style="medium">
        <color rgb="FF26BCD7"/>
      </bottom>
      <diagonal/>
    </border>
    <border>
      <left/>
      <right style="double">
        <color rgb="FF26BCD7"/>
      </right>
      <top/>
      <bottom style="medium">
        <color rgb="FF26BCD7"/>
      </bottom>
      <diagonal/>
    </border>
    <border>
      <left/>
      <right style="medium">
        <color rgb="FF26BCD7"/>
      </right>
      <top/>
      <bottom style="medium">
        <color rgb="FF26BCD7"/>
      </bottom>
      <diagonal/>
    </border>
    <border>
      <left style="medium">
        <color rgb="FF26BCD7"/>
      </left>
      <right style="medium">
        <color rgb="FF26BCD7"/>
      </right>
      <top style="double">
        <color rgb="FF26BCD7"/>
      </top>
      <bottom style="medium">
        <color rgb="FF26BCD7"/>
      </bottom>
      <diagonal/>
    </border>
    <border>
      <left/>
      <right style="medium">
        <color rgb="FF26BCD7"/>
      </right>
      <top style="double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 style="medium">
        <color rgb="FF26BCD7"/>
      </top>
      <bottom style="medium">
        <color rgb="FF26BCD7"/>
      </bottom>
      <diagonal/>
    </border>
    <border>
      <left style="double">
        <color rgb="FF26BCD7"/>
      </left>
      <right style="medium">
        <color rgb="FF26BCD7"/>
      </right>
      <top/>
      <bottom style="medium">
        <color rgb="FF26BC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6" fontId="0" fillId="0" borderId="0" xfId="0" applyNumberFormat="1" applyAlignment="1">
      <alignment vertical="center" wrapText="1"/>
    </xf>
    <xf numFmtId="6" fontId="0" fillId="0" borderId="0" xfId="0" applyNumberFormat="1"/>
    <xf numFmtId="10" fontId="0" fillId="0" borderId="0" xfId="2" applyNumberFormat="1" applyFont="1"/>
    <xf numFmtId="44" fontId="0" fillId="0" borderId="0" xfId="1" applyFont="1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2" fillId="2" borderId="0" xfId="0" applyFont="1" applyFill="1"/>
    <xf numFmtId="165" fontId="2" fillId="2" borderId="0" xfId="0" applyNumberFormat="1" applyFont="1" applyFill="1"/>
    <xf numFmtId="0" fontId="2" fillId="2" borderId="0" xfId="0" applyFont="1" applyFill="1" applyAlignment="1">
      <alignment vertical="center" wrapText="1"/>
    </xf>
    <xf numFmtId="0" fontId="0" fillId="0" borderId="0" xfId="0" applyFill="1"/>
    <xf numFmtId="0" fontId="2" fillId="0" borderId="0" xfId="0" applyFont="1" applyFill="1"/>
    <xf numFmtId="44" fontId="2" fillId="2" borderId="0" xfId="0" applyNumberFormat="1" applyFont="1" applyFill="1"/>
    <xf numFmtId="44" fontId="0" fillId="0" borderId="0" xfId="1" applyNumberFormat="1" applyFont="1" applyAlignment="1">
      <alignment vertical="center" wrapText="1"/>
    </xf>
    <xf numFmtId="44" fontId="0" fillId="0" borderId="0" xfId="0" applyNumberFormat="1" applyAlignment="1">
      <alignment vertical="center" wrapText="1"/>
    </xf>
    <xf numFmtId="166" fontId="0" fillId="0" borderId="0" xfId="0" applyNumberFormat="1" applyAlignment="1">
      <alignment vertical="center" wrapText="1"/>
    </xf>
    <xf numFmtId="44" fontId="0" fillId="0" borderId="0" xfId="0" applyNumberFormat="1"/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/>
    <xf numFmtId="0" fontId="0" fillId="0" borderId="0" xfId="0" applyBorder="1"/>
    <xf numFmtId="165" fontId="2" fillId="2" borderId="4" xfId="0" applyNumberFormat="1" applyFont="1" applyFill="1" applyBorder="1"/>
    <xf numFmtId="165" fontId="2" fillId="2" borderId="0" xfId="0" applyNumberFormat="1" applyFont="1" applyFill="1" applyBorder="1"/>
    <xf numFmtId="165" fontId="2" fillId="2" borderId="5" xfId="0" applyNumberFormat="1" applyFont="1" applyFill="1" applyBorder="1"/>
    <xf numFmtId="167" fontId="0" fillId="0" borderId="4" xfId="0" applyNumberFormat="1" applyBorder="1" applyAlignment="1">
      <alignment vertical="center" wrapText="1"/>
    </xf>
    <xf numFmtId="167" fontId="0" fillId="0" borderId="4" xfId="0" applyNumberFormat="1" applyBorder="1"/>
    <xf numFmtId="167" fontId="0" fillId="0" borderId="0" xfId="0" applyNumberFormat="1" applyBorder="1"/>
    <xf numFmtId="167" fontId="0" fillId="0" borderId="5" xfId="0" applyNumberFormat="1" applyBorder="1"/>
    <xf numFmtId="0" fontId="0" fillId="0" borderId="6" xfId="0" applyBorder="1"/>
    <xf numFmtId="0" fontId="0" fillId="0" borderId="7" xfId="0" applyBorder="1"/>
    <xf numFmtId="167" fontId="0" fillId="0" borderId="7" xfId="0" applyNumberFormat="1" applyBorder="1"/>
    <xf numFmtId="167" fontId="0" fillId="0" borderId="8" xfId="0" applyNumberFormat="1" applyBorder="1"/>
    <xf numFmtId="0" fontId="2" fillId="2" borderId="0" xfId="0" applyNumberFormat="1" applyFont="1" applyFill="1"/>
    <xf numFmtId="10" fontId="0" fillId="0" borderId="0" xfId="2" applyNumberFormat="1" applyFont="1" applyAlignment="1">
      <alignment vertical="center" wrapText="1"/>
    </xf>
    <xf numFmtId="0" fontId="0" fillId="0" borderId="0" xfId="0" applyAlignment="1"/>
    <xf numFmtId="164" fontId="0" fillId="0" borderId="0" xfId="0" applyNumberFormat="1" applyAlignment="1">
      <alignment vertical="center" wrapText="1"/>
    </xf>
    <xf numFmtId="44" fontId="2" fillId="0" borderId="0" xfId="0" applyNumberFormat="1" applyFont="1" applyFill="1"/>
    <xf numFmtId="165" fontId="2" fillId="0" borderId="0" xfId="0" applyNumberFormat="1" applyFont="1" applyFill="1"/>
    <xf numFmtId="0" fontId="2" fillId="0" borderId="0" xfId="0" applyNumberFormat="1" applyFont="1" applyFill="1"/>
    <xf numFmtId="0" fontId="0" fillId="0" borderId="0" xfId="0" applyFont="1" applyFill="1"/>
    <xf numFmtId="165" fontId="0" fillId="0" borderId="0" xfId="0" applyNumberFormat="1" applyFont="1" applyFill="1"/>
    <xf numFmtId="44" fontId="0" fillId="0" borderId="0" xfId="0" applyNumberFormat="1" applyFont="1" applyFill="1"/>
    <xf numFmtId="0" fontId="2" fillId="0" borderId="0" xfId="0" applyFont="1"/>
    <xf numFmtId="6" fontId="0" fillId="0" borderId="0" xfId="0" applyNumberFormat="1" applyBorder="1"/>
    <xf numFmtId="6" fontId="0" fillId="0" borderId="9" xfId="0" applyNumberFormat="1" applyBorder="1"/>
    <xf numFmtId="0" fontId="0" fillId="0" borderId="9" xfId="0" applyBorder="1"/>
    <xf numFmtId="0" fontId="0" fillId="0" borderId="16" xfId="0" applyBorder="1"/>
    <xf numFmtId="0" fontId="0" fillId="0" borderId="15" xfId="0" applyBorder="1"/>
    <xf numFmtId="6" fontId="0" fillId="0" borderId="16" xfId="0" applyNumberFormat="1" applyBorder="1"/>
    <xf numFmtId="6" fontId="0" fillId="0" borderId="15" xfId="0" applyNumberFormat="1" applyBorder="1"/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6" fontId="0" fillId="0" borderId="0" xfId="0" applyNumberFormat="1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6" fontId="0" fillId="0" borderId="9" xfId="0" applyNumberFormat="1" applyBorder="1" applyAlignment="1">
      <alignment vertical="center" wrapText="1"/>
    </xf>
    <xf numFmtId="6" fontId="0" fillId="0" borderId="14" xfId="0" applyNumberForma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165" fontId="0" fillId="0" borderId="9" xfId="1" applyNumberFormat="1" applyFont="1" applyBorder="1"/>
    <xf numFmtId="165" fontId="0" fillId="0" borderId="14" xfId="1" applyNumberFormat="1" applyFont="1" applyBorder="1"/>
    <xf numFmtId="6" fontId="0" fillId="0" borderId="12" xfId="0" applyNumberFormat="1" applyBorder="1"/>
    <xf numFmtId="6" fontId="0" fillId="0" borderId="13" xfId="0" applyNumberFormat="1" applyBorder="1"/>
    <xf numFmtId="6" fontId="0" fillId="0" borderId="14" xfId="0" applyNumberForma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5" xfId="0" applyBorder="1" applyAlignment="1">
      <alignment vertical="center" wrapText="1"/>
    </xf>
    <xf numFmtId="0" fontId="0" fillId="0" borderId="0" xfId="0" applyFont="1" applyAlignment="1">
      <alignment vertical="center" wrapText="1"/>
    </xf>
    <xf numFmtId="10" fontId="1" fillId="0" borderId="0" xfId="2" applyNumberFormat="1" applyFont="1" applyFill="1"/>
    <xf numFmtId="0" fontId="0" fillId="0" borderId="0" xfId="0" applyFont="1"/>
    <xf numFmtId="44" fontId="0" fillId="2" borderId="0" xfId="0" applyNumberFormat="1" applyFont="1" applyFill="1"/>
    <xf numFmtId="165" fontId="0" fillId="2" borderId="0" xfId="0" applyNumberFormat="1" applyFont="1" applyFill="1"/>
    <xf numFmtId="44" fontId="1" fillId="0" borderId="0" xfId="1" applyFont="1" applyAlignment="1">
      <alignment vertical="center" wrapText="1"/>
    </xf>
    <xf numFmtId="44" fontId="0" fillId="0" borderId="0" xfId="0" applyNumberFormat="1" applyFont="1" applyAlignment="1">
      <alignment vertical="center" wrapText="1"/>
    </xf>
    <xf numFmtId="165" fontId="1" fillId="0" borderId="0" xfId="1" applyNumberFormat="1" applyFont="1" applyAlignment="1">
      <alignment vertical="center" wrapText="1"/>
    </xf>
    <xf numFmtId="6" fontId="0" fillId="0" borderId="0" xfId="0" applyNumberFormat="1" applyFont="1" applyAlignment="1">
      <alignment vertical="center" wrapText="1"/>
    </xf>
    <xf numFmtId="167" fontId="0" fillId="0" borderId="0" xfId="0" applyNumberFormat="1" applyFont="1" applyAlignment="1">
      <alignment vertical="center" wrapText="1"/>
    </xf>
    <xf numFmtId="44" fontId="1" fillId="0" borderId="0" xfId="1" applyNumberFormat="1" applyFont="1" applyAlignment="1">
      <alignment vertical="center" wrapText="1"/>
    </xf>
    <xf numFmtId="167" fontId="0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3" fillId="0" borderId="0" xfId="0" applyFont="1" applyFill="1" applyBorder="1" applyAlignment="1">
      <alignment horizontal="right"/>
    </xf>
    <xf numFmtId="165" fontId="3" fillId="0" borderId="0" xfId="0" applyNumberFormat="1" applyFont="1" applyBorder="1"/>
    <xf numFmtId="0" fontId="3" fillId="3" borderId="0" xfId="0" applyFont="1" applyFill="1" applyAlignment="1">
      <alignment horizontal="right"/>
    </xf>
    <xf numFmtId="165" fontId="3" fillId="3" borderId="0" xfId="0" applyNumberFormat="1" applyFont="1" applyFill="1"/>
    <xf numFmtId="165" fontId="3" fillId="3" borderId="0" xfId="0" applyNumberFormat="1" applyFont="1" applyFill="1" applyBorder="1"/>
    <xf numFmtId="168" fontId="3" fillId="3" borderId="0" xfId="1" applyNumberFormat="1" applyFont="1" applyFill="1"/>
    <xf numFmtId="8" fontId="3" fillId="0" borderId="0" xfId="0" applyNumberFormat="1" applyFont="1" applyBorder="1"/>
    <xf numFmtId="167" fontId="0" fillId="4" borderId="0" xfId="0" applyNumberFormat="1" applyFont="1" applyFill="1" applyAlignment="1">
      <alignment vertical="center" wrapText="1"/>
    </xf>
    <xf numFmtId="0" fontId="3" fillId="3" borderId="0" xfId="0" applyFont="1" applyFill="1" applyBorder="1" applyAlignment="1">
      <alignment horizontal="right"/>
    </xf>
    <xf numFmtId="0" fontId="0" fillId="3" borderId="0" xfId="0" applyFont="1" applyFill="1"/>
    <xf numFmtId="165" fontId="0" fillId="3" borderId="0" xfId="0" applyNumberFormat="1" applyFont="1" applyFill="1"/>
    <xf numFmtId="0" fontId="0" fillId="3" borderId="0" xfId="0" applyFill="1"/>
    <xf numFmtId="0" fontId="3" fillId="5" borderId="0" xfId="0" applyFont="1" applyFill="1" applyBorder="1" applyAlignment="1">
      <alignment horizontal="right"/>
    </xf>
    <xf numFmtId="168" fontId="3" fillId="5" borderId="0" xfId="1" applyNumberFormat="1" applyFont="1" applyFill="1"/>
    <xf numFmtId="165" fontId="3" fillId="5" borderId="0" xfId="0" applyNumberFormat="1" applyFont="1" applyFill="1"/>
    <xf numFmtId="0" fontId="0" fillId="5" borderId="0" xfId="0" applyFont="1" applyFill="1"/>
    <xf numFmtId="165" fontId="0" fillId="5" borderId="0" xfId="0" applyNumberFormat="1" applyFont="1" applyFill="1"/>
    <xf numFmtId="0" fontId="0" fillId="5" borderId="0" xfId="0" applyFill="1"/>
    <xf numFmtId="0" fontId="3" fillId="5" borderId="0" xfId="0" applyFont="1" applyFill="1" applyAlignment="1">
      <alignment horizontal="right"/>
    </xf>
    <xf numFmtId="6" fontId="0" fillId="0" borderId="11" xfId="0" applyNumberFormat="1" applyBorder="1"/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0" xfId="0" applyBorder="1"/>
    <xf numFmtId="0" fontId="0" fillId="0" borderId="14" xfId="0" applyBorder="1"/>
    <xf numFmtId="0" fontId="2" fillId="0" borderId="11" xfId="0" applyFont="1" applyBorder="1" applyAlignment="1">
      <alignment horizontal="center"/>
    </xf>
    <xf numFmtId="0" fontId="5" fillId="6" borderId="17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4" fillId="0" borderId="20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22" xfId="0" applyNumberFormat="1" applyFont="1" applyBorder="1" applyAlignment="1">
      <alignment horizontal="center" vertical="center" wrapText="1"/>
    </xf>
    <xf numFmtId="0" fontId="5" fillId="6" borderId="17" xfId="0" applyFont="1" applyFill="1" applyBorder="1" applyAlignment="1">
      <alignment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2" fontId="6" fillId="0" borderId="2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5" fillId="6" borderId="25" xfId="0" applyFont="1" applyFill="1" applyBorder="1" applyAlignment="1">
      <alignment horizontal="left" vertical="center" wrapText="1"/>
    </xf>
    <xf numFmtId="2" fontId="4" fillId="0" borderId="26" xfId="0" applyNumberFormat="1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/>
    </xf>
    <xf numFmtId="6" fontId="0" fillId="0" borderId="16" xfId="0" applyNumberFormat="1" applyFill="1" applyBorder="1"/>
    <xf numFmtId="0" fontId="0" fillId="0" borderId="0" xfId="0" applyFill="1" applyBorder="1"/>
    <xf numFmtId="6" fontId="0" fillId="0" borderId="0" xfId="0" applyNumberFormat="1" applyFill="1" applyBorder="1"/>
    <xf numFmtId="0" fontId="0" fillId="0" borderId="10" xfId="0" applyFill="1" applyBorder="1"/>
    <xf numFmtId="6" fontId="0" fillId="0" borderId="0" xfId="0" applyNumberFormat="1" applyFill="1"/>
    <xf numFmtId="6" fontId="0" fillId="7" borderId="16" xfId="0" applyNumberFormat="1" applyFill="1" applyBorder="1"/>
    <xf numFmtId="0" fontId="0" fillId="7" borderId="0" xfId="0" applyFill="1" applyBorder="1"/>
    <xf numFmtId="6" fontId="0" fillId="7" borderId="0" xfId="0" applyNumberFormat="1" applyFill="1" applyBorder="1"/>
    <xf numFmtId="2" fontId="4" fillId="0" borderId="21" xfId="0" quotePrefix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6BCD7"/>
      <color rgb="FFF5822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A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24010996752748"/>
          <c:y val="0.14582728599990077"/>
          <c:w val="0.80730897401869706"/>
          <c:h val="0.6227686388304363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'Opt 1b - cost-benefit timing'!$E$9</c:f>
              <c:strCache>
                <c:ptCount val="1"/>
                <c:pt idx="0">
                  <c:v>Annualised benefits ($)</c:v>
                </c:pt>
              </c:strCache>
            </c:strRef>
          </c:tx>
          <c:spPr>
            <a:ln>
              <a:solidFill>
                <a:srgbClr val="26BCD7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timing'!$G$10:$T$10</c:f>
              <c:numCache>
                <c:formatCode>"$"#,##0_);[Red]\("$"#,##0\)</c:formatCode>
                <c:ptCount val="14"/>
                <c:pt idx="0">
                  <c:v>3.93682519</c:v>
                </c:pt>
                <c:pt idx="1">
                  <c:v>5.8824443099999995</c:v>
                </c:pt>
                <c:pt idx="2">
                  <c:v>8.491408980000001</c:v>
                </c:pt>
                <c:pt idx="3">
                  <c:v>13.50840734</c:v>
                </c:pt>
                <c:pt idx="4">
                  <c:v>16.94455932</c:v>
                </c:pt>
                <c:pt idx="5">
                  <c:v>17.458854210000002</c:v>
                </c:pt>
                <c:pt idx="6">
                  <c:v>22.339013989999998</c:v>
                </c:pt>
                <c:pt idx="7">
                  <c:v>28.976674899999999</c:v>
                </c:pt>
                <c:pt idx="8">
                  <c:v>35.42693998</c:v>
                </c:pt>
                <c:pt idx="9">
                  <c:v>35.42693998</c:v>
                </c:pt>
                <c:pt idx="10">
                  <c:v>35.42693998</c:v>
                </c:pt>
                <c:pt idx="11">
                  <c:v>35.42693998</c:v>
                </c:pt>
                <c:pt idx="12">
                  <c:v>35.42693998</c:v>
                </c:pt>
                <c:pt idx="13">
                  <c:v>35.42693998</c:v>
                </c:pt>
              </c:numCache>
            </c:numRef>
          </c:yVal>
          <c:smooth val="1"/>
        </c:ser>
        <c:ser>
          <c:idx val="3"/>
          <c:order val="1"/>
          <c:tx>
            <c:strRef>
              <c:f>'Opt 1b - cost-benefit timing'!$E$11</c:f>
              <c:strCache>
                <c:ptCount val="1"/>
                <c:pt idx="0">
                  <c:v>Annualised costs ($)</c:v>
                </c:pt>
              </c:strCache>
            </c:strRef>
          </c:tx>
          <c:spPr>
            <a:ln>
              <a:solidFill>
                <a:srgbClr val="F58220"/>
              </a:solidFill>
            </a:ln>
          </c:spPr>
          <c:marker>
            <c:symbol val="none"/>
          </c:marker>
          <c:xVal>
            <c:numRef>
              <c:f>'Opt 1b - cost-benefit timing'!$G$14:$T$14</c:f>
              <c:numCache>
                <c:formatCode>General</c:formatCode>
                <c:ptCount val="14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</c:numCache>
            </c:numRef>
          </c:xVal>
          <c:yVal>
            <c:numRef>
              <c:f>'Opt 1b - cost-benefit timing'!$G$12:$T$12</c:f>
              <c:numCache>
                <c:formatCode>_-"$"* #,##0_-;\-"$"* #,##0_-;_-"$"* "-"??_-;_-@_-</c:formatCode>
                <c:ptCount val="14"/>
                <c:pt idx="0">
                  <c:v>0.43599989915360771</c:v>
                </c:pt>
                <c:pt idx="1">
                  <c:v>0.43599989915360771</c:v>
                </c:pt>
                <c:pt idx="2">
                  <c:v>0.43599989915360771</c:v>
                </c:pt>
                <c:pt idx="3">
                  <c:v>0.43599989915360771</c:v>
                </c:pt>
                <c:pt idx="4">
                  <c:v>0.43599989915360771</c:v>
                </c:pt>
                <c:pt idx="5">
                  <c:v>0.43599989915360771</c:v>
                </c:pt>
                <c:pt idx="6">
                  <c:v>0.43599989915360771</c:v>
                </c:pt>
                <c:pt idx="7">
                  <c:v>0.43599989915360771</c:v>
                </c:pt>
                <c:pt idx="8">
                  <c:v>0.43599989915360771</c:v>
                </c:pt>
                <c:pt idx="9">
                  <c:v>0.43599989915360771</c:v>
                </c:pt>
                <c:pt idx="10">
                  <c:v>0.43599989915360771</c:v>
                </c:pt>
                <c:pt idx="11">
                  <c:v>0.43599989915360771</c:v>
                </c:pt>
                <c:pt idx="12">
                  <c:v>0.43599989915360771</c:v>
                </c:pt>
                <c:pt idx="13">
                  <c:v>0.43599989915360771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083968"/>
        <c:axId val="226085888"/>
      </c:scatterChart>
      <c:valAx>
        <c:axId val="226083968"/>
        <c:scaling>
          <c:orientation val="minMax"/>
          <c:max val="2030"/>
          <c:min val="2017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AU" sz="1200"/>
                  <a:t>Year</a:t>
                </a:r>
              </a:p>
            </c:rich>
          </c:tx>
          <c:layout>
            <c:manualLayout>
              <c:xMode val="edge"/>
              <c:yMode val="edge"/>
              <c:x val="0.48767884776490267"/>
              <c:y val="0.863959487417014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26085888"/>
        <c:crosses val="autoZero"/>
        <c:crossBetween val="midCat"/>
        <c:majorUnit val="1"/>
      </c:valAx>
      <c:valAx>
        <c:axId val="22608588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AU" sz="1200"/>
                  <a:t>Project</a:t>
                </a:r>
                <a:r>
                  <a:rPr lang="en-AU" sz="1200" baseline="0"/>
                  <a:t> annual costs benefits ($M)</a:t>
                </a:r>
                <a:endParaRPr lang="en-AU" sz="1200"/>
              </a:p>
            </c:rich>
          </c:tx>
          <c:layout/>
          <c:overlay val="0"/>
        </c:title>
        <c:numFmt formatCode="&quot;$&quot;#,##0_);[Red]\(&quot;$&quot;#,##0\)" sourceLinked="1"/>
        <c:majorTickMark val="out"/>
        <c:minorTickMark val="none"/>
        <c:tickLblPos val="nextTo"/>
        <c:crossAx val="226083968"/>
        <c:crosses val="autoZero"/>
        <c:crossBetween val="midCat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1752599</xdr:colOff>
      <xdr:row>20</xdr:row>
      <xdr:rowOff>133350</xdr:rowOff>
    </xdr:from>
    <xdr:to>
      <xdr:col>13</xdr:col>
      <xdr:colOff>390525</xdr:colOff>
      <xdr:row>38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opLeftCell="A3" zoomScaleNormal="100" workbookViewId="0">
      <selection activeCell="B3" sqref="B3:E14"/>
    </sheetView>
  </sheetViews>
  <sheetFormatPr defaultRowHeight="15" x14ac:dyDescent="0.25"/>
  <cols>
    <col min="1" max="1" width="44.42578125" customWidth="1"/>
    <col min="2" max="5" width="11" customWidth="1"/>
    <col min="6" max="6" width="12.7109375" customWidth="1"/>
    <col min="7" max="7" width="9.140625" hidden="1" customWidth="1"/>
    <col min="8" max="8" width="4.140625" customWidth="1"/>
    <col min="9" max="9" width="4.28515625" customWidth="1"/>
    <col min="10" max="10" width="47.140625" customWidth="1"/>
    <col min="11" max="11" width="38" customWidth="1"/>
  </cols>
  <sheetData>
    <row r="1" spans="1:11" ht="30.75" thickBot="1" x14ac:dyDescent="0.3">
      <c r="A1" s="44" t="s">
        <v>79</v>
      </c>
      <c r="J1" s="122" t="s">
        <v>85</v>
      </c>
      <c r="K1" s="44"/>
    </row>
    <row r="2" spans="1:11" ht="60.75" thickBot="1" x14ac:dyDescent="0.3">
      <c r="A2" s="111" t="s">
        <v>66</v>
      </c>
      <c r="B2" s="112" t="s">
        <v>67</v>
      </c>
      <c r="C2" s="123" t="s">
        <v>68</v>
      </c>
      <c r="D2" s="113" t="s">
        <v>69</v>
      </c>
      <c r="E2" s="113" t="s">
        <v>70</v>
      </c>
      <c r="G2" t="s">
        <v>78</v>
      </c>
      <c r="J2" s="118"/>
      <c r="K2" s="119" t="s">
        <v>91</v>
      </c>
    </row>
    <row r="3" spans="1:11" ht="15.75" thickBot="1" x14ac:dyDescent="0.3">
      <c r="A3" s="114" t="s">
        <v>95</v>
      </c>
      <c r="B3" s="134">
        <f>'Cost-Benefit (BASE)'!D8/1000000</f>
        <v>0</v>
      </c>
      <c r="C3" s="124">
        <f>'Cost-Benefit (BASE)'!E8/1000000</f>
        <v>0</v>
      </c>
      <c r="D3" s="117">
        <f>'Cost-Benefit (BASE)'!E9/1000000</f>
        <v>0</v>
      </c>
      <c r="E3" s="115">
        <f>'Sensitivity Analysis Summary'!P3</f>
        <v>10</v>
      </c>
      <c r="F3" s="2"/>
      <c r="G3">
        <v>0</v>
      </c>
      <c r="J3" s="114" t="s">
        <v>82</v>
      </c>
      <c r="K3" s="117">
        <f>'Opt 1b - cost-benefit timing'!B19</f>
        <v>6.3521238837706759</v>
      </c>
    </row>
    <row r="4" spans="1:11" ht="36.75" thickBot="1" x14ac:dyDescent="0.3">
      <c r="A4" s="114" t="s">
        <v>71</v>
      </c>
      <c r="B4" s="116">
        <f ca="1">OFFSET('Cost-Benefit (BASE)'!D14,G3,0)/1000000</f>
        <v>10.228212145960962</v>
      </c>
      <c r="C4" s="124">
        <f ca="1">OFFSET('Cost-Benefit (BASE)'!E14,G3,0)/1000000</f>
        <v>16.706649584806197</v>
      </c>
      <c r="D4" s="117">
        <f ca="1">OFFSET('Cost-Benefit (BASE)'!E15,G3,0)/1000000</f>
        <v>167.84483886920714</v>
      </c>
      <c r="E4" s="115">
        <f>'Sensitivity Analysis Summary'!P4</f>
        <v>5</v>
      </c>
      <c r="G4">
        <f>G3+5</f>
        <v>5</v>
      </c>
      <c r="J4" s="114" t="s">
        <v>83</v>
      </c>
      <c r="K4" s="117">
        <f>'Opt 1b - cost-benefit timing'!B20</f>
        <v>0.1802900802892497</v>
      </c>
    </row>
    <row r="5" spans="1:11" ht="37.5" thickTop="1" thickBot="1" x14ac:dyDescent="0.3">
      <c r="A5" s="114" t="s">
        <v>72</v>
      </c>
      <c r="B5" s="116">
        <f ca="1">OFFSET('Cost-Benefit (BASE)'!D15,G4,0)/1000000</f>
        <v>6.5324139640599252</v>
      </c>
      <c r="C5" s="124">
        <f ca="1">OFFSET('Cost-Benefit (BASE)'!E15,G4,0)/1000000</f>
        <v>12.600280842824917</v>
      </c>
      <c r="D5" s="117">
        <f ca="1">OFFSET('Cost-Benefit (BASE)'!E16,G4,0)/1000000</f>
        <v>171.95120761118844</v>
      </c>
      <c r="E5" s="115">
        <f>'Sensitivity Analysis Summary'!P5</f>
        <v>1</v>
      </c>
      <c r="G5">
        <f t="shared" ref="G5:G14" si="0">G4+5</f>
        <v>10</v>
      </c>
      <c r="J5" s="120" t="s">
        <v>84</v>
      </c>
      <c r="K5" s="121">
        <f>SUM(K3:K4)</f>
        <v>6.5324139640599252</v>
      </c>
    </row>
    <row r="6" spans="1:11" ht="36.75" thickBot="1" x14ac:dyDescent="0.3">
      <c r="A6" s="114" t="s">
        <v>92</v>
      </c>
      <c r="B6" s="116">
        <f ca="1">OFFSET('Cost-Benefit (BASE)'!D16,G5,0)/1000000</f>
        <v>8.595928632945391</v>
      </c>
      <c r="C6" s="124">
        <f ca="1">OFFSET('Cost-Benefit (BASE)'!E16,G5,0)/1000000</f>
        <v>16.947354744148662</v>
      </c>
      <c r="D6" s="117">
        <f ca="1">OFFSET('Cost-Benefit (BASE)'!E17,G5,0)/1000000</f>
        <v>167.60413370986467</v>
      </c>
      <c r="E6" s="115">
        <f>'Sensitivity Analysis Summary'!P6</f>
        <v>6</v>
      </c>
      <c r="G6">
        <f t="shared" si="0"/>
        <v>15</v>
      </c>
    </row>
    <row r="7" spans="1:11" ht="36.75" thickBot="1" x14ac:dyDescent="0.3">
      <c r="A7" s="114" t="s">
        <v>93</v>
      </c>
      <c r="B7" s="116">
        <f ca="1">OFFSET('Cost-Benefit (BASE)'!D17,G6,0)/1000000</f>
        <v>4.9579877511614638</v>
      </c>
      <c r="C7" s="124">
        <f ca="1">OFFSET('Cost-Benefit (BASE)'!E17,G6,0)/1000000</f>
        <v>12.905270737697538</v>
      </c>
      <c r="D7" s="117">
        <f ca="1">OFFSET('Cost-Benefit (BASE)'!E18,G6,0)/1000000</f>
        <v>171.64621771631582</v>
      </c>
      <c r="E7" s="115">
        <f>'Sensitivity Analysis Summary'!P7</f>
        <v>2</v>
      </c>
      <c r="G7">
        <f t="shared" si="0"/>
        <v>20</v>
      </c>
    </row>
    <row r="8" spans="1:11" ht="24.75" thickBot="1" x14ac:dyDescent="0.3">
      <c r="A8" s="114" t="s">
        <v>73</v>
      </c>
      <c r="B8" s="116">
        <f ca="1">OFFSET('Cost-Benefit (BASE)'!D18,G7,0)/1000000</f>
        <v>15.906128822262705</v>
      </c>
      <c r="C8" s="124">
        <f ca="1">OFFSET('Cost-Benefit (BASE)'!E18,G7,0)/1000000</f>
        <v>19.727480316670032</v>
      </c>
      <c r="D8" s="117">
        <f ca="1">OFFSET('Cost-Benefit (BASE)'!E19,G7,0)/1000000</f>
        <v>164.82400813734333</v>
      </c>
      <c r="E8" s="115">
        <f>'Sensitivity Analysis Summary'!P8</f>
        <v>7</v>
      </c>
      <c r="G8">
        <f t="shared" si="0"/>
        <v>25</v>
      </c>
    </row>
    <row r="9" spans="1:11" ht="24.75" thickBot="1" x14ac:dyDescent="0.3">
      <c r="A9" s="114" t="s">
        <v>74</v>
      </c>
      <c r="B9" s="116">
        <f ca="1">OFFSET('Cost-Benefit (BASE)'!D19,G8,0)/1000000</f>
        <v>41.030077376347691</v>
      </c>
      <c r="C9" s="124">
        <f ca="1">OFFSET('Cost-Benefit (BASE)'!E19,G8,0)/1000000</f>
        <v>45.588156854561383</v>
      </c>
      <c r="D9" s="117">
        <f ca="1">OFFSET('Cost-Benefit (BASE)'!E20,G8,0)/1000000</f>
        <v>138.96333159945195</v>
      </c>
      <c r="E9" s="115">
        <f>'Sensitivity Analysis Summary'!P9</f>
        <v>9</v>
      </c>
      <c r="G9">
        <f t="shared" si="0"/>
        <v>30</v>
      </c>
    </row>
    <row r="10" spans="1:11" ht="24.75" thickBot="1" x14ac:dyDescent="0.3">
      <c r="A10" s="114" t="s">
        <v>75</v>
      </c>
      <c r="B10" s="116">
        <f ca="1">OFFSET('Cost-Benefit (BASE)'!D20,G9,0)/1000000</f>
        <v>6.330425687761843</v>
      </c>
      <c r="C10" s="124">
        <f ca="1">OFFSET('Cost-Benefit (BASE)'!E20,G9,0)/1000000</f>
        <v>16.48449538100083</v>
      </c>
      <c r="D10" s="117">
        <f ca="1">OFFSET('Cost-Benefit (BASE)'!E21,G9,0)/1000000</f>
        <v>168.06357288492825</v>
      </c>
      <c r="E10" s="115">
        <f>'Sensitivity Analysis Summary'!P10</f>
        <v>4</v>
      </c>
      <c r="G10">
        <f t="shared" si="0"/>
        <v>35</v>
      </c>
    </row>
    <row r="11" spans="1:11" ht="24.75" thickBot="1" x14ac:dyDescent="0.3">
      <c r="A11" s="114" t="s">
        <v>89</v>
      </c>
      <c r="B11" s="116">
        <f ca="1">OFFSET('Cost-Benefit (BASE)'!D21,G10,0)/1000000</f>
        <v>7.7871839439942612</v>
      </c>
      <c r="C11" s="124">
        <f ca="1">OFFSET('Cost-Benefit (BASE)'!E21,G10,0)/1000000</f>
        <v>13.855050822759257</v>
      </c>
      <c r="D11" s="117">
        <f ca="1">OFFSET('Cost-Benefit (BASE)'!E22,G10,0)/1000000</f>
        <v>170.67552301799978</v>
      </c>
      <c r="E11" s="115">
        <f>'Sensitivity Analysis Summary'!P11</f>
        <v>3</v>
      </c>
      <c r="G11">
        <f t="shared" si="0"/>
        <v>40</v>
      </c>
    </row>
    <row r="12" spans="1:11" ht="36.75" thickBot="1" x14ac:dyDescent="0.3">
      <c r="A12" s="114" t="s">
        <v>96</v>
      </c>
      <c r="B12" s="116">
        <f ca="1">OFFSET('Cost-Benefit (BASE)'!D22,G11,0)/1000000</f>
        <v>12.941544267445684</v>
      </c>
      <c r="C12" s="124">
        <f ca="1">OFFSET('Cost-Benefit (BASE)'!E22,G11,0)/1000000</f>
        <v>19.009411146210677</v>
      </c>
      <c r="D12" s="117">
        <f ca="1">OFFSET('Cost-Benefit (BASE)'!E23,G11,0)/1000000</f>
        <v>162.83014912248981</v>
      </c>
      <c r="E12" s="115">
        <f>'Sensitivity Analysis Summary'!P12</f>
        <v>8</v>
      </c>
      <c r="G12">
        <f t="shared" si="0"/>
        <v>45</v>
      </c>
    </row>
    <row r="13" spans="1:11" ht="24.75" thickBot="1" x14ac:dyDescent="0.3">
      <c r="A13" s="114" t="s">
        <v>76</v>
      </c>
      <c r="B13" s="116">
        <f ca="1">OFFSET('Cost-Benefit (BASE)'!D23,G12,0)/1000000</f>
        <v>1.168272838895249</v>
      </c>
      <c r="C13" s="124">
        <f ca="1">OFFSET('Cost-Benefit (BASE)'!E23,G12,0)/1000000</f>
        <v>12.803193874773438</v>
      </c>
      <c r="D13" s="117">
        <f ca="1">OFFSET('Cost-Benefit (BASE)'!E24,G12,0)/1000000</f>
        <v>-12.651813475596793</v>
      </c>
      <c r="E13" s="115">
        <f>'Sensitivity Analysis Summary'!P13</f>
        <v>11</v>
      </c>
      <c r="G13">
        <f t="shared" si="0"/>
        <v>50</v>
      </c>
    </row>
    <row r="14" spans="1:11" ht="36.75" thickBot="1" x14ac:dyDescent="0.3">
      <c r="A14" s="114" t="s">
        <v>77</v>
      </c>
      <c r="B14" s="116">
        <f ca="1">OFFSET('Cost-Benefit (BASE)'!D24,G13,0)/1000000</f>
        <v>1.4877145288733635</v>
      </c>
      <c r="C14" s="124">
        <f ca="1">OFFSET('Cost-Benefit (BASE)'!E24,G13,0)/1000000</f>
        <v>13.158122717218255</v>
      </c>
      <c r="D14" s="117">
        <f ca="1">OFFSET('Cost-Benefit (BASE)'!E25,G13,0)/1000000</f>
        <v>-13.006742318041612</v>
      </c>
      <c r="E14" s="115">
        <f>'Sensitivity Analysis Summary'!P14</f>
        <v>12</v>
      </c>
      <c r="G14">
        <f t="shared" si="0"/>
        <v>55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57031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0.7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0" x14ac:dyDescent="0.25">
      <c r="A6" s="1" t="s">
        <v>0</v>
      </c>
      <c r="B6" s="1"/>
      <c r="C6" s="1"/>
      <c r="D6" s="3"/>
      <c r="E6" s="3">
        <f>NPV($B$2,G6:T6)+F6</f>
        <v>191041031.13867536</v>
      </c>
      <c r="F6" s="3">
        <f>'Cost-Benefit (BASE)'!F6/'Cost-Benefit (BASE)'!$B$1*$B$1</f>
        <v>2784207.75</v>
      </c>
      <c r="G6" s="3">
        <f>'Cost-Benefit (BASE)'!G6/'Cost-Benefit (BASE)'!$B$1*$B$1</f>
        <v>3941364.7700000005</v>
      </c>
      <c r="H6" s="3">
        <f>'Cost-Benefit (BASE)'!H6/'Cost-Benefit (BASE)'!$B$1*$B$1</f>
        <v>5882444.3099999996</v>
      </c>
      <c r="I6" s="3">
        <f>'Cost-Benefit (BASE)'!I6/'Cost-Benefit (BASE)'!$B$1*$B$1</f>
        <v>8491408.9800000004</v>
      </c>
      <c r="J6" s="3">
        <f>'Cost-Benefit (BASE)'!J6/'Cost-Benefit (BASE)'!$B$1*$B$1</f>
        <v>13508407.34</v>
      </c>
      <c r="K6" s="3">
        <f>'Cost-Benefit (BASE)'!K6/'Cost-Benefit (BASE)'!$B$1*$B$1</f>
        <v>16944559.32</v>
      </c>
      <c r="L6" s="3">
        <f>'Cost-Benefit (BASE)'!L6/'Cost-Benefit (BASE)'!$B$1*$B$1</f>
        <v>17458854.210000001</v>
      </c>
      <c r="M6" s="3">
        <f>'Cost-Benefit (BASE)'!M6/'Cost-Benefit (BASE)'!$B$1*$B$1</f>
        <v>22339013.989999998</v>
      </c>
      <c r="N6" s="3">
        <f>'Cost-Benefit (BASE)'!N6/'Cost-Benefit (BASE)'!$B$1*$B$1</f>
        <v>28976674.899999999</v>
      </c>
      <c r="O6" s="3">
        <f>'Cost-Benefit (BASE)'!O6/'Cost-Benefit (BASE)'!$B$1*$B$1</f>
        <v>35426939.979999997</v>
      </c>
      <c r="P6" s="3">
        <f>'Cost-Benefit (BASE)'!P6/'Cost-Benefit (BASE)'!$B$1*$B$1</f>
        <v>35426939.979999997</v>
      </c>
      <c r="Q6" s="3">
        <f>'Cost-Benefit (BASE)'!Q6/'Cost-Benefit (BASE)'!$B$1*$B$1</f>
        <v>35426939.979999997</v>
      </c>
      <c r="R6" s="3">
        <f>'Cost-Benefit (BASE)'!R6/'Cost-Benefit (BASE)'!$B$1*$B$1</f>
        <v>35426939.979999997</v>
      </c>
      <c r="S6" s="3">
        <f>'Cost-Benefit (BASE)'!S6/'Cost-Benefit (BASE)'!$B$1*$B$1</f>
        <v>35426939.979999997</v>
      </c>
      <c r="T6" s="3">
        <f>'Cost-Benefit (BASE)'!T6/'Cost-Benefit (BASE)'!$B$1*$B$1</f>
        <v>35426939.979999997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6489542.6846620291</v>
      </c>
      <c r="F12" s="3">
        <f>'Cost-Benefit (BASE)'!F12/'Cost-Benefit (BASE)'!$B$1*$B$1</f>
        <v>2784207.75</v>
      </c>
      <c r="G12" s="3">
        <f>'Cost-Benefit (BASE)'!G12/'Cost-Benefit (BASE)'!$B$1*$B$1</f>
        <v>3941364.7700000005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184551488.45401335</v>
      </c>
      <c r="F13" s="4">
        <f>F$6-F12</f>
        <v>0</v>
      </c>
      <c r="G13" s="4">
        <f t="shared" ref="G13:T13" si="1">G$6-G12</f>
        <v>0</v>
      </c>
      <c r="H13" s="4">
        <f t="shared" si="1"/>
        <v>5882444.3099999996</v>
      </c>
      <c r="I13" s="4">
        <f t="shared" si="1"/>
        <v>8491408.9800000004</v>
      </c>
      <c r="J13" s="4">
        <f t="shared" si="1"/>
        <v>13508407.34</v>
      </c>
      <c r="K13" s="4">
        <f t="shared" si="1"/>
        <v>16944559.32</v>
      </c>
      <c r="L13" s="4">
        <f t="shared" si="1"/>
        <v>17458854.210000001</v>
      </c>
      <c r="M13" s="4">
        <f t="shared" si="1"/>
        <v>22339013.989999998</v>
      </c>
      <c r="N13" s="4">
        <f t="shared" si="1"/>
        <v>28976674.899999999</v>
      </c>
      <c r="O13" s="4">
        <f t="shared" si="1"/>
        <v>35426939.979999997</v>
      </c>
      <c r="P13" s="4">
        <f t="shared" si="1"/>
        <v>35426939.979999997</v>
      </c>
      <c r="Q13" s="4">
        <f t="shared" si="1"/>
        <v>35426939.979999997</v>
      </c>
      <c r="R13" s="4">
        <f t="shared" si="1"/>
        <v>35426939.979999997</v>
      </c>
      <c r="S13" s="4">
        <f t="shared" si="1"/>
        <v>35426939.979999997</v>
      </c>
      <c r="T13" s="4">
        <f t="shared" si="1"/>
        <v>35426939.979999997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11694654.709364334</v>
      </c>
      <c r="F14" s="3">
        <f>'Cost-Benefit (BASE)'!F14*'Cost-Benefit (Cost-30%)'!$B$3</f>
        <v>0</v>
      </c>
      <c r="G14" s="3">
        <f>'Cost-Benefit (BASE)'!G14*'Cost-Benefit (Cost-30%)'!$B$3</f>
        <v>0</v>
      </c>
      <c r="H14" s="3">
        <f>'Cost-Benefit (BASE)'!H14*'Cost-Benefit (Cost-30%)'!$B$3</f>
        <v>7877371.8486903179</v>
      </c>
      <c r="I14" s="3">
        <f>'Cost-Benefit (BASE)'!I14*'Cost-Benefit (Cost-30%)'!$B$3</f>
        <v>121114.59217361361</v>
      </c>
      <c r="J14" s="3">
        <f>'Cost-Benefit (BASE)'!J14*'Cost-Benefit (Cost-30%)'!$B$3</f>
        <v>124142.45697795393</v>
      </c>
      <c r="K14" s="3">
        <f>'Cost-Benefit (BASE)'!K14*'Cost-Benefit (Cost-30%)'!$B$3</f>
        <v>127246.01840240277</v>
      </c>
      <c r="L14" s="3">
        <f>'Cost-Benefit (BASE)'!L14*'Cost-Benefit (Cost-30%)'!$B$3</f>
        <v>130427.16886246284</v>
      </c>
      <c r="M14" s="3">
        <f>'Cost-Benefit (BASE)'!M14*'Cost-Benefit (Cost-30%)'!$B$3</f>
        <v>133687.84808402439</v>
      </c>
      <c r="N14" s="3">
        <f>'Cost-Benefit (BASE)'!N14*'Cost-Benefit (Cost-30%)'!$B$3</f>
        <v>137030.04428612499</v>
      </c>
      <c r="O14" s="3">
        <f>'Cost-Benefit (BASE)'!O14*'Cost-Benefit (Cost-30%)'!$B$3</f>
        <v>140455.79539327809</v>
      </c>
      <c r="P14" s="3">
        <f>'Cost-Benefit (BASE)'!P14*'Cost-Benefit (Cost-30%)'!$B$3</f>
        <v>143967.19027811004</v>
      </c>
      <c r="Q14" s="3">
        <f>'Cost-Benefit (BASE)'!Q14*'Cost-Benefit (Cost-30%)'!$B$3</f>
        <v>147566.37003506278</v>
      </c>
      <c r="R14" s="3">
        <f>'Cost-Benefit (BASE)'!R14*'Cost-Benefit (Cost-30%)'!$B$3</f>
        <v>151255.52928593935</v>
      </c>
      <c r="S14" s="3">
        <f>'Cost-Benefit (BASE)'!S14*'Cost-Benefit (Cost-30%)'!$B$3</f>
        <v>155036.91751808781</v>
      </c>
      <c r="T14" s="3">
        <f>'Cost-Benefit (BASE)'!T14*'Cost-Benefit (Cost-30%)'!$B$3</f>
        <v>9036281.2842533607</v>
      </c>
    </row>
    <row r="15" spans="1:20" x14ac:dyDescent="0.25">
      <c r="A15" s="1" t="s">
        <v>35</v>
      </c>
      <c r="E15" s="4">
        <f>E13-E14</f>
        <v>172856833.74464902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6489542.6846620291</v>
      </c>
      <c r="F18" s="3">
        <f>'Cost-Benefit (BASE)'!F18/'Cost-Benefit (BASE)'!$B$1*$B$1</f>
        <v>2784207.75</v>
      </c>
      <c r="G18" s="3">
        <f>'Cost-Benefit (BASE)'!G18/'Cost-Benefit (BASE)'!$B$1*$B$1</f>
        <v>3941364.7700000005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184551488.45401335</v>
      </c>
      <c r="F19" s="4">
        <f>F$6-F18</f>
        <v>0</v>
      </c>
      <c r="G19" s="4">
        <f t="shared" ref="G19:T19" si="2">G$6-G18</f>
        <v>0</v>
      </c>
      <c r="H19" s="4">
        <f t="shared" si="2"/>
        <v>5882444.3099999996</v>
      </c>
      <c r="I19" s="4">
        <f t="shared" si="2"/>
        <v>8491408.9800000004</v>
      </c>
      <c r="J19" s="4">
        <f t="shared" si="2"/>
        <v>13508407.34</v>
      </c>
      <c r="K19" s="4">
        <f t="shared" si="2"/>
        <v>16944559.32</v>
      </c>
      <c r="L19" s="4">
        <f t="shared" si="2"/>
        <v>17458854.210000001</v>
      </c>
      <c r="M19" s="4">
        <f t="shared" si="2"/>
        <v>22339013.989999998</v>
      </c>
      <c r="N19" s="4">
        <f t="shared" si="2"/>
        <v>28976674.899999999</v>
      </c>
      <c r="O19" s="4">
        <f t="shared" si="2"/>
        <v>35426939.979999997</v>
      </c>
      <c r="P19" s="4">
        <f t="shared" si="2"/>
        <v>35426939.979999997</v>
      </c>
      <c r="Q19" s="4">
        <f t="shared" si="2"/>
        <v>35426939.979999997</v>
      </c>
      <c r="R19" s="4">
        <f t="shared" si="2"/>
        <v>35426939.979999997</v>
      </c>
      <c r="S19" s="4">
        <f t="shared" si="2"/>
        <v>35426939.979999997</v>
      </c>
      <c r="T19" s="4">
        <f t="shared" si="2"/>
        <v>35426939.979999997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8820196.5899774432</v>
      </c>
      <c r="F20" s="3">
        <f>'Cost-Benefit (BASE)'!F20*'Cost-Benefit (Cost-30%)'!$B$3</f>
        <v>0</v>
      </c>
      <c r="G20" s="3">
        <f>'Cost-Benefit (BASE)'!G20*'Cost-Benefit (Cost-30%)'!$B$3</f>
        <v>0</v>
      </c>
      <c r="H20" s="3">
        <f>'Cost-Benefit (BASE)'!H20*'Cost-Benefit (Cost-30%)'!$B$3</f>
        <v>5031011.5912874984</v>
      </c>
      <c r="I20" s="3">
        <f>'Cost-Benefit (BASE)'!I20*'Cost-Benefit (Cost-30%)'!$B$3</f>
        <v>77351.803216045271</v>
      </c>
      <c r="J20" s="3">
        <f>'Cost-Benefit (BASE)'!J20*'Cost-Benefit (Cost-30%)'!$B$3</f>
        <v>79285.598296446406</v>
      </c>
      <c r="K20" s="3">
        <f>'Cost-Benefit (BASE)'!K20*'Cost-Benefit (Cost-30%)'!$B$3</f>
        <v>81267.738253857562</v>
      </c>
      <c r="L20" s="3">
        <f>'Cost-Benefit (BASE)'!L20*'Cost-Benefit (Cost-30%)'!$B$3</f>
        <v>83299.431710203993</v>
      </c>
      <c r="M20" s="3">
        <f>'Cost-Benefit (BASE)'!M20*'Cost-Benefit (Cost-30%)'!$B$3</f>
        <v>85381.917502959084</v>
      </c>
      <c r="N20" s="3">
        <f>'Cost-Benefit (BASE)'!N20*'Cost-Benefit (Cost-30%)'!$B$3</f>
        <v>87516.465440533066</v>
      </c>
      <c r="O20" s="3">
        <f>'Cost-Benefit (BASE)'!O20*'Cost-Benefit (Cost-30%)'!$B$3</f>
        <v>89704.377076546385</v>
      </c>
      <c r="P20" s="3">
        <f>'Cost-Benefit (BASE)'!P20*'Cost-Benefit (Cost-30%)'!$B$3</f>
        <v>91946.986503460037</v>
      </c>
      <c r="Q20" s="3">
        <f>'Cost-Benefit (BASE)'!Q20*'Cost-Benefit (Cost-30%)'!$B$3</f>
        <v>94245.661166046528</v>
      </c>
      <c r="R20" s="3">
        <f>'Cost-Benefit (BASE)'!R20*'Cost-Benefit (Cost-30%)'!$B$3</f>
        <v>96601.802695197694</v>
      </c>
      <c r="S20" s="3">
        <f>'Cost-Benefit (BASE)'!S20*'Cost-Benefit (Cost-30%)'!$B$3</f>
        <v>99016.847762577629</v>
      </c>
      <c r="T20" s="3">
        <f>'Cost-Benefit (BASE)'!T20*'Cost-Benefit (Cost-30%)'!$B$3</f>
        <v>8978860.7127539609</v>
      </c>
    </row>
    <row r="21" spans="1:20" x14ac:dyDescent="0.25">
      <c r="A21" s="1" t="s">
        <v>35</v>
      </c>
      <c r="E21" s="4">
        <f>E19-E20</f>
        <v>175731291.8640359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6489542.6846620291</v>
      </c>
      <c r="F24" s="3">
        <f>'Cost-Benefit (BASE)'!F24/'Cost-Benefit (BASE)'!$B$1*$B$1</f>
        <v>2784207.75</v>
      </c>
      <c r="G24" s="3">
        <f>'Cost-Benefit (BASE)'!G24/'Cost-Benefit (BASE)'!$B$1*$B$1</f>
        <v>3941364.7700000005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184551488.45401335</v>
      </c>
      <c r="F25" s="4">
        <f>F$6-F24</f>
        <v>0</v>
      </c>
      <c r="G25" s="4">
        <f t="shared" ref="G25:T25" si="3">G$6-G24</f>
        <v>0</v>
      </c>
      <c r="H25" s="4">
        <f t="shared" si="3"/>
        <v>5882444.3099999996</v>
      </c>
      <c r="I25" s="4">
        <f t="shared" si="3"/>
        <v>8491408.9800000004</v>
      </c>
      <c r="J25" s="4">
        <f t="shared" si="3"/>
        <v>13508407.34</v>
      </c>
      <c r="K25" s="4">
        <f t="shared" si="3"/>
        <v>16944559.32</v>
      </c>
      <c r="L25" s="4">
        <f t="shared" si="3"/>
        <v>17458854.210000001</v>
      </c>
      <c r="M25" s="4">
        <f t="shared" si="3"/>
        <v>22339013.989999998</v>
      </c>
      <c r="N25" s="4">
        <f t="shared" si="3"/>
        <v>28976674.899999999</v>
      </c>
      <c r="O25" s="4">
        <f t="shared" si="3"/>
        <v>35426939.979999997</v>
      </c>
      <c r="P25" s="4">
        <f t="shared" si="3"/>
        <v>35426939.979999997</v>
      </c>
      <c r="Q25" s="4">
        <f t="shared" si="3"/>
        <v>35426939.979999997</v>
      </c>
      <c r="R25" s="4">
        <f t="shared" si="3"/>
        <v>35426939.979999997</v>
      </c>
      <c r="S25" s="4">
        <f t="shared" si="3"/>
        <v>35426939.979999997</v>
      </c>
      <c r="T25" s="4">
        <f t="shared" si="3"/>
        <v>35426939.979999997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11863148.320904061</v>
      </c>
      <c r="F26" s="3">
        <f>'Cost-Benefit (BASE)'!F26*'Cost-Benefit (Cost-30%)'!$B$3</f>
        <v>0</v>
      </c>
      <c r="G26" s="3">
        <f>'Cost-Benefit (BASE)'!G26*'Cost-Benefit (Cost-30%)'!$B$3</f>
        <v>0</v>
      </c>
      <c r="H26" s="3">
        <f>'Cost-Benefit (BASE)'!H26*'Cost-Benefit (Cost-30%)'!$B$3</f>
        <v>6620250.4660850726</v>
      </c>
      <c r="I26" s="3">
        <f>'Cost-Benefit (BASE)'!I26*'Cost-Benefit (Cost-30%)'!$B$3</f>
        <v>101786.35091605797</v>
      </c>
      <c r="J26" s="3">
        <f>'Cost-Benefit (BASE)'!J26*'Cost-Benefit (Cost-30%)'!$B$3</f>
        <v>104331.0096889594</v>
      </c>
      <c r="K26" s="3">
        <f>'Cost-Benefit (BASE)'!K26*'Cost-Benefit (Cost-30%)'!$B$3</f>
        <v>1866856.1857701964</v>
      </c>
      <c r="L26" s="3">
        <f>'Cost-Benefit (BASE)'!L26*'Cost-Benefit (Cost-30%)'!$B$3</f>
        <v>136671.48940486278</v>
      </c>
      <c r="M26" s="3">
        <f>'Cost-Benefit (BASE)'!M26*'Cost-Benefit (Cost-30%)'!$B$3</f>
        <v>140088.27663998434</v>
      </c>
      <c r="N26" s="3">
        <f>'Cost-Benefit (BASE)'!N26*'Cost-Benefit (Cost-30%)'!$B$3</f>
        <v>143590.48355598393</v>
      </c>
      <c r="O26" s="3">
        <f>'Cost-Benefit (BASE)'!O26*'Cost-Benefit (Cost-30%)'!$B$3</f>
        <v>147180.24564488351</v>
      </c>
      <c r="P26" s="3">
        <f>'Cost-Benefit (BASE)'!P26*'Cost-Benefit (Cost-30%)'!$B$3</f>
        <v>150859.7517860056</v>
      </c>
      <c r="Q26" s="3">
        <f>'Cost-Benefit (BASE)'!Q26*'Cost-Benefit (Cost-30%)'!$B$3</f>
        <v>154631.24558065573</v>
      </c>
      <c r="R26" s="3">
        <f>'Cost-Benefit (BASE)'!R26*'Cost-Benefit (Cost-30%)'!$B$3</f>
        <v>158497.02672017209</v>
      </c>
      <c r="S26" s="3">
        <f>'Cost-Benefit (BASE)'!S26*'Cost-Benefit (Cost-30%)'!$B$3</f>
        <v>162459.45238817637</v>
      </c>
      <c r="T26" s="3">
        <f>'Cost-Benefit (BASE)'!T26*'Cost-Benefit (Cost-30%)'!$B$3</f>
        <v>9043889.3824952003</v>
      </c>
    </row>
    <row r="27" spans="1:20" x14ac:dyDescent="0.25">
      <c r="A27" s="1" t="s">
        <v>35</v>
      </c>
      <c r="E27" s="4">
        <f>E25-E26</f>
        <v>172688340.13310927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6489542.6846620291</v>
      </c>
      <c r="F30" s="3">
        <v>2784207.75</v>
      </c>
      <c r="G30" s="3">
        <v>3941364.77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184551488.45401335</v>
      </c>
      <c r="F31" s="4">
        <f>F$6-F30</f>
        <v>0</v>
      </c>
      <c r="G31" s="4">
        <f t="shared" ref="G31:T31" si="4">G$6-G30</f>
        <v>0</v>
      </c>
      <c r="H31" s="4">
        <f t="shared" si="4"/>
        <v>5882444.3099999996</v>
      </c>
      <c r="I31" s="4">
        <f t="shared" si="4"/>
        <v>8491408.9800000004</v>
      </c>
      <c r="J31" s="4">
        <f t="shared" si="4"/>
        <v>13508407.34</v>
      </c>
      <c r="K31" s="4">
        <f t="shared" si="4"/>
        <v>16944559.32</v>
      </c>
      <c r="L31" s="4">
        <f t="shared" si="4"/>
        <v>17458854.210000001</v>
      </c>
      <c r="M31" s="4">
        <f t="shared" si="4"/>
        <v>22339013.989999998</v>
      </c>
      <c r="N31" s="4">
        <f t="shared" si="4"/>
        <v>28976674.899999999</v>
      </c>
      <c r="O31" s="4">
        <f t="shared" si="4"/>
        <v>35426939.979999997</v>
      </c>
      <c r="P31" s="4">
        <f t="shared" si="4"/>
        <v>35426939.979999997</v>
      </c>
      <c r="Q31" s="4">
        <f t="shared" si="4"/>
        <v>35426939.979999997</v>
      </c>
      <c r="R31" s="4">
        <f t="shared" si="4"/>
        <v>35426939.979999997</v>
      </c>
      <c r="S31" s="4">
        <f t="shared" si="4"/>
        <v>35426939.979999997</v>
      </c>
      <c r="T31" s="4">
        <f t="shared" si="4"/>
        <v>35426939.979999997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9033689.5163882747</v>
      </c>
      <c r="F32" s="3">
        <f>'Cost-Benefit (BASE)'!F32*'Cost-Benefit (Cost-30%)'!$B$3</f>
        <v>0</v>
      </c>
      <c r="G32" s="3">
        <f>'Cost-Benefit (BASE)'!G32*'Cost-Benefit (Cost-30%)'!$B$3</f>
        <v>0</v>
      </c>
      <c r="H32" s="3">
        <f>'Cost-Benefit (BASE)'!H32*'Cost-Benefit (Cost-30%)'!$B$3</f>
        <v>3818449.6547203111</v>
      </c>
      <c r="I32" s="3">
        <f>'Cost-Benefit (BASE)'!I32*'Cost-Benefit (Cost-30%)'!$B$3</f>
        <v>58708.663441324774</v>
      </c>
      <c r="J32" s="3">
        <f>'Cost-Benefit (BASE)'!J32*'Cost-Benefit (Cost-30%)'!$B$3</f>
        <v>60176.380027357889</v>
      </c>
      <c r="K32" s="3">
        <f>'Cost-Benefit (BASE)'!K32*'Cost-Benefit (Cost-30%)'!$B$3</f>
        <v>1821597.6903670549</v>
      </c>
      <c r="L32" s="3">
        <f>'Cost-Benefit (BASE)'!L32*'Cost-Benefit (Cost-30%)'!$B$3</f>
        <v>90281.531616642693</v>
      </c>
      <c r="M32" s="3">
        <f>'Cost-Benefit (BASE)'!M32*'Cost-Benefit (Cost-30%)'!$B$3</f>
        <v>92538.569907058758</v>
      </c>
      <c r="N32" s="3">
        <f>'Cost-Benefit (BASE)'!N32*'Cost-Benefit (Cost-30%)'!$B$3</f>
        <v>94852.034154735215</v>
      </c>
      <c r="O32" s="3">
        <f>'Cost-Benefit (BASE)'!O32*'Cost-Benefit (Cost-30%)'!$B$3</f>
        <v>97223.335008603579</v>
      </c>
      <c r="P32" s="3">
        <f>'Cost-Benefit (BASE)'!P32*'Cost-Benefit (Cost-30%)'!$B$3</f>
        <v>99653.918383818658</v>
      </c>
      <c r="Q32" s="3">
        <f>'Cost-Benefit (BASE)'!Q32*'Cost-Benefit (Cost-30%)'!$B$3</f>
        <v>102145.26634341413</v>
      </c>
      <c r="R32" s="3">
        <f>'Cost-Benefit (BASE)'!R32*'Cost-Benefit (Cost-30%)'!$B$3</f>
        <v>104698.89800199946</v>
      </c>
      <c r="S32" s="3">
        <f>'Cost-Benefit (BASE)'!S32*'Cost-Benefit (Cost-30%)'!$B$3</f>
        <v>107316.37045204945</v>
      </c>
      <c r="T32" s="3">
        <f>'Cost-Benefit (BASE)'!T32*'Cost-Benefit (Cost-30%)'!$B$3</f>
        <v>8987367.7235106695</v>
      </c>
    </row>
    <row r="33" spans="1:20" x14ac:dyDescent="0.25">
      <c r="A33" s="1" t="s">
        <v>35</v>
      </c>
      <c r="E33" s="4">
        <f>E31-E32</f>
        <v>175517798.93762508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6489542.6846620291</v>
      </c>
      <c r="F36" s="3">
        <f>'Cost-Benefit (BASE)'!F36/'Cost-Benefit (BASE)'!$B$1*$B$1</f>
        <v>2784207.75</v>
      </c>
      <c r="G36" s="3">
        <f>'Cost-Benefit (BASE)'!G36/'Cost-Benefit (BASE)'!$B$1*$B$1</f>
        <v>3941364.7700000005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184551488.45401335</v>
      </c>
      <c r="F37" s="4">
        <f>F$6-F36</f>
        <v>0</v>
      </c>
      <c r="G37" s="4">
        <f t="shared" ref="G37:T37" si="5">G$6-G36</f>
        <v>0</v>
      </c>
      <c r="H37" s="4">
        <f t="shared" si="5"/>
        <v>5882444.3099999996</v>
      </c>
      <c r="I37" s="4">
        <f t="shared" si="5"/>
        <v>8491408.9800000004</v>
      </c>
      <c r="J37" s="4">
        <f t="shared" si="5"/>
        <v>13508407.34</v>
      </c>
      <c r="K37" s="4">
        <f t="shared" si="5"/>
        <v>16944559.32</v>
      </c>
      <c r="L37" s="4">
        <f t="shared" si="5"/>
        <v>17458854.210000001</v>
      </c>
      <c r="M37" s="4">
        <f t="shared" si="5"/>
        <v>22339013.989999998</v>
      </c>
      <c r="N37" s="4">
        <f t="shared" si="5"/>
        <v>28976674.899999999</v>
      </c>
      <c r="O37" s="4">
        <f t="shared" si="5"/>
        <v>35426939.979999997</v>
      </c>
      <c r="P37" s="4">
        <f t="shared" si="5"/>
        <v>35426939.979999997</v>
      </c>
      <c r="Q37" s="4">
        <f t="shared" si="5"/>
        <v>35426939.979999997</v>
      </c>
      <c r="R37" s="4">
        <f t="shared" si="5"/>
        <v>35426939.979999997</v>
      </c>
      <c r="S37" s="4">
        <f t="shared" si="5"/>
        <v>35426939.979999997</v>
      </c>
      <c r="T37" s="4">
        <f t="shared" si="5"/>
        <v>35426939.979999997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13809236.221669018</v>
      </c>
      <c r="F38" s="3">
        <f>'Cost-Benefit (BASE)'!F38*'Cost-Benefit (Cost-30%)'!$B$3</f>
        <v>0</v>
      </c>
      <c r="G38" s="3">
        <f>'Cost-Benefit (BASE)'!G38*'Cost-Benefit (Cost-30%)'!$B$3</f>
        <v>0</v>
      </c>
      <c r="H38" s="3">
        <f>'Cost-Benefit (BASE)'!H38*'Cost-Benefit (Cost-30%)'!$B$3</f>
        <v>12250282.807793858</v>
      </c>
      <c r="I38" s="3">
        <f>'Cost-Benefit (BASE)'!I38*'Cost-Benefit (Cost-30%)'!$B$3</f>
        <v>188348.09816983057</v>
      </c>
      <c r="J38" s="3">
        <f>'Cost-Benefit (BASE)'!J38*'Cost-Benefit (Cost-30%)'!$B$3</f>
        <v>193056.80062407634</v>
      </c>
      <c r="K38" s="3">
        <f>'Cost-Benefit (BASE)'!K38*'Cost-Benefit (Cost-30%)'!$B$3</f>
        <v>1957800.1214786915</v>
      </c>
      <c r="L38" s="3">
        <f>'Cost-Benefit (BASE)'!L38*'Cost-Benefit (Cost-30%)'!$B$3</f>
        <v>229889.02350606999</v>
      </c>
      <c r="M38" s="3">
        <f>'Cost-Benefit (BASE)'!M38*'Cost-Benefit (Cost-30%)'!$B$3</f>
        <v>235636.24909372174</v>
      </c>
      <c r="N38" s="3">
        <f>'Cost-Benefit (BASE)'!N38*'Cost-Benefit (Cost-30%)'!$B$3</f>
        <v>241527.15532106475</v>
      </c>
      <c r="O38" s="3">
        <f>'Cost-Benefit (BASE)'!O38*'Cost-Benefit (Cost-30%)'!$B$3</f>
        <v>247565.33420409137</v>
      </c>
      <c r="P38" s="3">
        <f>'Cost-Benefit (BASE)'!P38*'Cost-Benefit (Cost-30%)'!$B$3</f>
        <v>253754.46755919364</v>
      </c>
      <c r="Q38" s="3">
        <f>'Cost-Benefit (BASE)'!Q38*'Cost-Benefit (Cost-30%)'!$B$3</f>
        <v>260098.32924817348</v>
      </c>
      <c r="R38" s="3">
        <f>'Cost-Benefit (BASE)'!R38*'Cost-Benefit (Cost-30%)'!$B$3</f>
        <v>266600.78747937782</v>
      </c>
      <c r="S38" s="3">
        <f>'Cost-Benefit (BASE)'!S38*'Cost-Benefit (Cost-30%)'!$B$3</f>
        <v>273265.80716636224</v>
      </c>
      <c r="T38" s="3">
        <f>'Cost-Benefit (BASE)'!T38*'Cost-Benefit (Cost-30%)'!$B$3</f>
        <v>280097.45234552125</v>
      </c>
    </row>
    <row r="39" spans="1:20" x14ac:dyDescent="0.25">
      <c r="A39" s="1" t="s">
        <v>35</v>
      </c>
      <c r="E39" s="4">
        <f>E37-E38</f>
        <v>170742252.23234433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6489542.6846620291</v>
      </c>
      <c r="F42" s="3">
        <f>'Cost-Benefit (BASE)'!F42/'Cost-Benefit (BASE)'!$B$1*$B$1</f>
        <v>2784207.75</v>
      </c>
      <c r="G42" s="3">
        <f>'Cost-Benefit (BASE)'!G42/'Cost-Benefit (BASE)'!$B$1*$B$1</f>
        <v>3941364.7700000005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184551488.45401335</v>
      </c>
      <c r="F43" s="4">
        <f>F$6-F42</f>
        <v>0</v>
      </c>
      <c r="G43" s="4">
        <f t="shared" ref="G43:T43" si="6">G$6-G42</f>
        <v>0</v>
      </c>
      <c r="H43" s="4">
        <f t="shared" si="6"/>
        <v>5882444.3099999996</v>
      </c>
      <c r="I43" s="4">
        <f t="shared" si="6"/>
        <v>8491408.9800000004</v>
      </c>
      <c r="J43" s="4">
        <f t="shared" si="6"/>
        <v>13508407.34</v>
      </c>
      <c r="K43" s="4">
        <f t="shared" si="6"/>
        <v>16944559.32</v>
      </c>
      <c r="L43" s="4">
        <f t="shared" si="6"/>
        <v>17458854.210000001</v>
      </c>
      <c r="M43" s="4">
        <f t="shared" si="6"/>
        <v>22339013.989999998</v>
      </c>
      <c r="N43" s="4">
        <f t="shared" si="6"/>
        <v>28976674.899999999</v>
      </c>
      <c r="O43" s="4">
        <f t="shared" si="6"/>
        <v>35426939.979999997</v>
      </c>
      <c r="P43" s="4">
        <f t="shared" si="6"/>
        <v>35426939.979999997</v>
      </c>
      <c r="Q43" s="4">
        <f t="shared" si="6"/>
        <v>35426939.979999997</v>
      </c>
      <c r="R43" s="4">
        <f t="shared" si="6"/>
        <v>35426939.979999997</v>
      </c>
      <c r="S43" s="4">
        <f t="shared" si="6"/>
        <v>35426939.979999997</v>
      </c>
      <c r="T43" s="4">
        <f t="shared" si="6"/>
        <v>35426939.979999997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31911709.798192956</v>
      </c>
      <c r="F44" s="3">
        <f>'Cost-Benefit (BASE)'!F44*'Cost-Benefit (Cost-30%)'!$B$3</f>
        <v>0</v>
      </c>
      <c r="G44" s="3">
        <f>'Cost-Benefit (BASE)'!G44*'Cost-Benefit (Cost-30%)'!$B$3</f>
        <v>0</v>
      </c>
      <c r="H44" s="3">
        <f>'Cost-Benefit (BASE)'!H44*'Cost-Benefit (Cost-30%)'!$B$3</f>
        <v>31599772.458929636</v>
      </c>
      <c r="I44" s="3">
        <f>'Cost-Benefit (BASE)'!I44*'Cost-Benefit (Cost-30%)'!$B$3</f>
        <v>485846.50155604311</v>
      </c>
      <c r="J44" s="3">
        <f>'Cost-Benefit (BASE)'!J44*'Cost-Benefit (Cost-30%)'!$B$3</f>
        <v>497992.66409494414</v>
      </c>
      <c r="K44" s="3">
        <f>'Cost-Benefit (BASE)'!K44*'Cost-Benefit (Cost-30%)'!$B$3</f>
        <v>510442.48069731763</v>
      </c>
      <c r="L44" s="3">
        <f>'Cost-Benefit (BASE)'!L44*'Cost-Benefit (Cost-30%)'!$B$3</f>
        <v>523203.54271475057</v>
      </c>
      <c r="M44" s="3">
        <f>'Cost-Benefit (BASE)'!M44*'Cost-Benefit (Cost-30%)'!$B$3</f>
        <v>536283.63128261932</v>
      </c>
      <c r="N44" s="3">
        <f>'Cost-Benefit (BASE)'!N44*'Cost-Benefit (Cost-30%)'!$B$3</f>
        <v>549690.72206468473</v>
      </c>
      <c r="O44" s="3">
        <f>'Cost-Benefit (BASE)'!O44*'Cost-Benefit (Cost-30%)'!$B$3</f>
        <v>563432.99011630181</v>
      </c>
      <c r="P44" s="3">
        <f>'Cost-Benefit (BASE)'!P44*'Cost-Benefit (Cost-30%)'!$B$3</f>
        <v>577518.81486920931</v>
      </c>
      <c r="Q44" s="3">
        <f>'Cost-Benefit (BASE)'!Q44*'Cost-Benefit (Cost-30%)'!$B$3</f>
        <v>591956.78524093947</v>
      </c>
      <c r="R44" s="3">
        <f>'Cost-Benefit (BASE)'!R44*'Cost-Benefit (Cost-30%)'!$B$3</f>
        <v>606755.70487196289</v>
      </c>
      <c r="S44" s="3">
        <f>'Cost-Benefit (BASE)'!S44*'Cost-Benefit (Cost-30%)'!$B$3</f>
        <v>621924.59749376192</v>
      </c>
      <c r="T44" s="3">
        <f>'Cost-Benefit (BASE)'!T44*'Cost-Benefit (Cost-30%)'!$B$3</f>
        <v>637472.7124311059</v>
      </c>
    </row>
    <row r="45" spans="1:20" x14ac:dyDescent="0.25">
      <c r="A45" s="1" t="s">
        <v>35</v>
      </c>
      <c r="E45" s="4">
        <f>E43-E44</f>
        <v>152639778.6558204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6492962.8727462767</v>
      </c>
      <c r="F48" s="3">
        <f>'Cost-Benefit (BASE)'!F48/'Cost-Benefit (BASE)'!$B$1*$B$1</f>
        <v>2784207.75</v>
      </c>
      <c r="G48" s="3">
        <f>'Cost-Benefit (BASE)'!G48/'Cost-Benefit (BASE)'!$B$1*$B$1</f>
        <v>3941364.7700000005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184548068.26592907</v>
      </c>
      <c r="F49" s="4">
        <f>F$6-F48</f>
        <v>0</v>
      </c>
      <c r="G49" s="4">
        <f t="shared" ref="G49:T49" si="7">G$6-G48</f>
        <v>0</v>
      </c>
      <c r="H49" s="4">
        <f t="shared" si="7"/>
        <v>5882444.3099999996</v>
      </c>
      <c r="I49" s="4">
        <f t="shared" si="7"/>
        <v>8491408.9800000004</v>
      </c>
      <c r="J49" s="4">
        <f t="shared" si="7"/>
        <v>13508287.959999999</v>
      </c>
      <c r="K49" s="4">
        <f t="shared" si="7"/>
        <v>16944298.490000002</v>
      </c>
      <c r="L49" s="4">
        <f t="shared" si="7"/>
        <v>17458589.84</v>
      </c>
      <c r="M49" s="4">
        <f t="shared" si="7"/>
        <v>22338631.669999998</v>
      </c>
      <c r="N49" s="4">
        <f t="shared" si="7"/>
        <v>28976011.93</v>
      </c>
      <c r="O49" s="4">
        <f t="shared" si="7"/>
        <v>35426164.399999999</v>
      </c>
      <c r="P49" s="4">
        <f t="shared" si="7"/>
        <v>35426164.399999999</v>
      </c>
      <c r="Q49" s="4">
        <f t="shared" si="7"/>
        <v>35426164.399999999</v>
      </c>
      <c r="R49" s="4">
        <f t="shared" si="7"/>
        <v>35426164.399999999</v>
      </c>
      <c r="S49" s="4">
        <f t="shared" si="7"/>
        <v>35426164.399999999</v>
      </c>
      <c r="T49" s="4">
        <f t="shared" si="7"/>
        <v>35426164.399999999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11539146.766700581</v>
      </c>
      <c r="F50" s="3">
        <f>'Cost-Benefit (BASE)'!F50*'Cost-Benefit (Cost-30%)'!$B$3</f>
        <v>0</v>
      </c>
      <c r="G50" s="3">
        <f>'Cost-Benefit (BASE)'!G50*'Cost-Benefit (Cost-30%)'!$B$3</f>
        <v>0</v>
      </c>
      <c r="H50" s="3">
        <f>'Cost-Benefit (BASE)'!H50*'Cost-Benefit (Cost-30%)'!$B$3</f>
        <v>4875448.063784373</v>
      </c>
      <c r="I50" s="3">
        <f>'Cost-Benefit (BASE)'!I50*'Cost-Benefit (Cost-30%)'!$B$3</f>
        <v>74960.013980684729</v>
      </c>
      <c r="J50" s="3">
        <f>'Cost-Benefit (BASE)'!J50*'Cost-Benefit (Cost-30%)'!$B$3</f>
        <v>76834.01433020184</v>
      </c>
      <c r="K50" s="3">
        <f>'Cost-Benefit (BASE)'!K50*'Cost-Benefit (Cost-30%)'!$B$3</f>
        <v>3598588.6663664836</v>
      </c>
      <c r="L50" s="3">
        <f>'Cost-Benefit (BASE)'!L50*'Cost-Benefit (Cost-30%)'!$B$3</f>
        <v>134841.18100646796</v>
      </c>
      <c r="M50" s="3">
        <f>'Cost-Benefit (BASE)'!M50*'Cost-Benefit (Cost-30%)'!$B$3</f>
        <v>138212.21053162962</v>
      </c>
      <c r="N50" s="3">
        <f>'Cost-Benefit (BASE)'!N50*'Cost-Benefit (Cost-30%)'!$B$3</f>
        <v>141667.51579492036</v>
      </c>
      <c r="O50" s="3">
        <f>'Cost-Benefit (BASE)'!O50*'Cost-Benefit (Cost-30%)'!$B$3</f>
        <v>145209.20368979333</v>
      </c>
      <c r="P50" s="3">
        <f>'Cost-Benefit (BASE)'!P50*'Cost-Benefit (Cost-30%)'!$B$3</f>
        <v>148839.43378203816</v>
      </c>
      <c r="Q50" s="3">
        <f>'Cost-Benefit (BASE)'!Q50*'Cost-Benefit (Cost-30%)'!$B$3</f>
        <v>152560.41962658911</v>
      </c>
      <c r="R50" s="3">
        <f>'Cost-Benefit (BASE)'!R50*'Cost-Benefit (Cost-30%)'!$B$3</f>
        <v>156374.43011725383</v>
      </c>
      <c r="S50" s="3">
        <f>'Cost-Benefit (BASE)'!S50*'Cost-Benefit (Cost-30%)'!$B$3</f>
        <v>160283.79087018516</v>
      </c>
      <c r="T50" s="3">
        <f>'Cost-Benefit (BASE)'!T50*'Cost-Benefit (Cost-30%)'!$B$3</f>
        <v>9041659.3294392601</v>
      </c>
    </row>
    <row r="51" spans="1:20" x14ac:dyDescent="0.25">
      <c r="A51" s="1" t="s">
        <v>35</v>
      </c>
      <c r="E51" s="4">
        <f>E49-E50</f>
        <v>173008921.49922848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6510457.2979163695</v>
      </c>
      <c r="F54" s="3">
        <f>'Cost-Benefit (BASE)'!F54/'Cost-Benefit (BASE)'!$B$1*$B$1</f>
        <v>2784207.75</v>
      </c>
      <c r="G54" s="3">
        <f>'Cost-Benefit (BASE)'!G54/'Cost-Benefit (BASE)'!$B$1*$B$1</f>
        <v>3941364.7700000005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184530573.84075901</v>
      </c>
      <c r="F55" s="4">
        <f>F$6-F54</f>
        <v>0</v>
      </c>
      <c r="G55" s="4">
        <f t="shared" ref="G55:T55" si="8">G$6-G54</f>
        <v>0</v>
      </c>
      <c r="H55" s="4">
        <f t="shared" si="8"/>
        <v>5858780.3099999996</v>
      </c>
      <c r="I55" s="4">
        <f t="shared" si="8"/>
        <v>8491408.9800000004</v>
      </c>
      <c r="J55" s="4">
        <f t="shared" si="8"/>
        <v>13508407.34</v>
      </c>
      <c r="K55" s="4">
        <f t="shared" si="8"/>
        <v>16944559.32</v>
      </c>
      <c r="L55" s="4">
        <f t="shared" si="8"/>
        <v>17458854.210000001</v>
      </c>
      <c r="M55" s="4">
        <f t="shared" si="8"/>
        <v>22339013.989999998</v>
      </c>
      <c r="N55" s="4">
        <f t="shared" si="8"/>
        <v>28976674.899999999</v>
      </c>
      <c r="O55" s="4">
        <f t="shared" si="8"/>
        <v>35426939.979999997</v>
      </c>
      <c r="P55" s="4">
        <f t="shared" si="8"/>
        <v>35426939.979999997</v>
      </c>
      <c r="Q55" s="4">
        <f t="shared" si="8"/>
        <v>35426939.979999997</v>
      </c>
      <c r="R55" s="4">
        <f t="shared" si="8"/>
        <v>35426939.979999997</v>
      </c>
      <c r="S55" s="4">
        <f t="shared" si="8"/>
        <v>35426939.979999997</v>
      </c>
      <c r="T55" s="4">
        <f t="shared" si="8"/>
        <v>35426939.979999997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9698535.5759314783</v>
      </c>
      <c r="F56" s="3">
        <f>'Cost-Benefit (BASE)'!F56*'Cost-Benefit (Cost-30%)'!$B$3</f>
        <v>0</v>
      </c>
      <c r="G56" s="3">
        <f>'Cost-Benefit (BASE)'!G56*'Cost-Benefit (Cost-30%)'!$B$3</f>
        <v>0</v>
      </c>
      <c r="H56" s="3">
        <f>'Cost-Benefit (BASE)'!H56*'Cost-Benefit (Cost-30%)'!$B$3</f>
        <v>1249563.4375</v>
      </c>
      <c r="I56" s="3">
        <f>'Cost-Benefit (BASE)'!I56*'Cost-Benefit (Cost-30%)'!$B$3</f>
        <v>5156786.8810696853</v>
      </c>
      <c r="J56" s="3">
        <f>'Cost-Benefit (BASE)'!J56*'Cost-Benefit (Cost-30%)'!$B$3</f>
        <v>79285.59829644642</v>
      </c>
      <c r="K56" s="3">
        <f>'Cost-Benefit (BASE)'!K56*'Cost-Benefit (Cost-30%)'!$B$3</f>
        <v>81267.738253857577</v>
      </c>
      <c r="L56" s="3">
        <f>'Cost-Benefit (BASE)'!L56*'Cost-Benefit (Cost-30%)'!$B$3</f>
        <v>83299.431710204008</v>
      </c>
      <c r="M56" s="3">
        <f>'Cost-Benefit (BASE)'!M56*'Cost-Benefit (Cost-30%)'!$B$3</f>
        <v>85381.917502959099</v>
      </c>
      <c r="N56" s="3">
        <f>'Cost-Benefit (BASE)'!N56*'Cost-Benefit (Cost-30%)'!$B$3</f>
        <v>87516.465440533066</v>
      </c>
      <c r="O56" s="3">
        <f>'Cost-Benefit (BASE)'!O56*'Cost-Benefit (Cost-30%)'!$B$3</f>
        <v>89704.3770765464</v>
      </c>
      <c r="P56" s="3">
        <f>'Cost-Benefit (BASE)'!P56*'Cost-Benefit (Cost-30%)'!$B$3</f>
        <v>91946.986503460037</v>
      </c>
      <c r="Q56" s="3">
        <f>'Cost-Benefit (BASE)'!Q56*'Cost-Benefit (Cost-30%)'!$B$3</f>
        <v>94245.661166046528</v>
      </c>
      <c r="R56" s="3">
        <f>'Cost-Benefit (BASE)'!R56*'Cost-Benefit (Cost-30%)'!$B$3</f>
        <v>96601.802695197694</v>
      </c>
      <c r="S56" s="3">
        <f>'Cost-Benefit (BASE)'!S56*'Cost-Benefit (Cost-30%)'!$B$3</f>
        <v>99016.847762577629</v>
      </c>
      <c r="T56" s="3">
        <f>'Cost-Benefit (BASE)'!T56*'Cost-Benefit (Cost-30%)'!$B$3</f>
        <v>8978860.7127539609</v>
      </c>
    </row>
    <row r="57" spans="1:20" x14ac:dyDescent="0.25">
      <c r="A57" s="1" t="s">
        <v>35</v>
      </c>
      <c r="E57" s="4">
        <f>E55-E56</f>
        <v>174832038.26482752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9201470.8699749056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3068432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181839560.26870048</v>
      </c>
      <c r="F61" s="4">
        <f>F$6-F60</f>
        <v>0</v>
      </c>
      <c r="G61" s="4">
        <f t="shared" ref="G61:T61" si="9">G$6-G60</f>
        <v>0</v>
      </c>
      <c r="H61" s="4">
        <f t="shared" si="9"/>
        <v>2814012.3099999996</v>
      </c>
      <c r="I61" s="4">
        <f t="shared" si="9"/>
        <v>8491408.9800000004</v>
      </c>
      <c r="J61" s="4">
        <f t="shared" si="9"/>
        <v>13508407.34</v>
      </c>
      <c r="K61" s="4">
        <f t="shared" si="9"/>
        <v>16944559.32</v>
      </c>
      <c r="L61" s="4">
        <f t="shared" si="9"/>
        <v>17458854.210000001</v>
      </c>
      <c r="M61" s="4">
        <f t="shared" si="9"/>
        <v>22339013.989999998</v>
      </c>
      <c r="N61" s="4">
        <f t="shared" si="9"/>
        <v>28976674.899999999</v>
      </c>
      <c r="O61" s="4">
        <f t="shared" si="9"/>
        <v>35426939.979999997</v>
      </c>
      <c r="P61" s="4">
        <f t="shared" si="9"/>
        <v>35426939.979999997</v>
      </c>
      <c r="Q61" s="4">
        <f t="shared" si="9"/>
        <v>35426939.979999997</v>
      </c>
      <c r="R61" s="4">
        <f t="shared" si="9"/>
        <v>35426939.979999997</v>
      </c>
      <c r="S61" s="4">
        <f t="shared" si="9"/>
        <v>35426939.979999997</v>
      </c>
      <c r="T61" s="4">
        <f t="shared" si="9"/>
        <v>35426939.979999997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13306587.80234747</v>
      </c>
      <c r="F62" s="3">
        <f>'Cost-Benefit (BASE)'!F62*'Cost-Benefit (Cost-30%)'!$B$3</f>
        <v>0</v>
      </c>
      <c r="G62" s="3">
        <f>'Cost-Benefit (BASE)'!G62*'Cost-Benefit (Cost-30%)'!$B$3</f>
        <v>0</v>
      </c>
      <c r="H62" s="3">
        <f>'Cost-Benefit (BASE)'!H62*'Cost-Benefit (Cost-30%)'!$B$3</f>
        <v>5331921.8749999981</v>
      </c>
      <c r="I62" s="3">
        <f>'Cost-Benefit (BASE)'!I62*'Cost-Benefit (Cost-30%)'!$B$3</f>
        <v>5156786.8810696853</v>
      </c>
      <c r="J62" s="3">
        <f>'Cost-Benefit (BASE)'!J62*'Cost-Benefit (Cost-30%)'!$B$3</f>
        <v>79285.59829644642</v>
      </c>
      <c r="K62" s="3">
        <f>'Cost-Benefit (BASE)'!K62*'Cost-Benefit (Cost-30%)'!$B$3</f>
        <v>81267.738253857577</v>
      </c>
      <c r="L62" s="3">
        <f>'Cost-Benefit (BASE)'!L62*'Cost-Benefit (Cost-30%)'!$B$3</f>
        <v>83299.431710204008</v>
      </c>
      <c r="M62" s="3">
        <f>'Cost-Benefit (BASE)'!M62*'Cost-Benefit (Cost-30%)'!$B$3</f>
        <v>85381.917502959099</v>
      </c>
      <c r="N62" s="3">
        <f>'Cost-Benefit (BASE)'!N62*'Cost-Benefit (Cost-30%)'!$B$3</f>
        <v>87516.465440533066</v>
      </c>
      <c r="O62" s="3">
        <f>'Cost-Benefit (BASE)'!O62*'Cost-Benefit (Cost-30%)'!$B$3</f>
        <v>89704.3770765464</v>
      </c>
      <c r="P62" s="3">
        <f>'Cost-Benefit (BASE)'!P62*'Cost-Benefit (Cost-30%)'!$B$3</f>
        <v>91946.986503460037</v>
      </c>
      <c r="Q62" s="3">
        <f>'Cost-Benefit (BASE)'!Q62*'Cost-Benefit (Cost-30%)'!$B$3</f>
        <v>94245.661166046528</v>
      </c>
      <c r="R62" s="3">
        <f>'Cost-Benefit (BASE)'!R62*'Cost-Benefit (Cost-30%)'!$B$3</f>
        <v>96601.802695197694</v>
      </c>
      <c r="S62" s="3">
        <f>'Cost-Benefit (BASE)'!S62*'Cost-Benefit (Cost-30%)'!$B$3</f>
        <v>99016.847762577629</v>
      </c>
      <c r="T62" s="3">
        <f>'Cost-Benefit (BASE)'!T62*'Cost-Benefit (Cost-30%)'!$B$3</f>
        <v>8978860.7127539609</v>
      </c>
    </row>
    <row r="63" spans="1:20" x14ac:dyDescent="0.25">
      <c r="A63" s="1" t="s">
        <v>35</v>
      </c>
      <c r="E63" s="4">
        <f>E61-E62</f>
        <v>168532972.466353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190889650.73949873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151380.39917664335</v>
      </c>
      <c r="F67" s="4">
        <f>F$6-F66</f>
        <v>0</v>
      </c>
      <c r="G67" s="4">
        <f t="shared" ref="G67:T67" si="10">G$6-G66</f>
        <v>0</v>
      </c>
      <c r="H67" s="4">
        <f t="shared" si="10"/>
        <v>6911.8199999993667</v>
      </c>
      <c r="I67" s="4">
        <f t="shared" si="10"/>
        <v>9170.6699999999255</v>
      </c>
      <c r="J67" s="4">
        <f t="shared" si="10"/>
        <v>13231.220000000671</v>
      </c>
      <c r="K67" s="4">
        <f t="shared" si="10"/>
        <v>15713.530000001192</v>
      </c>
      <c r="L67" s="4">
        <f t="shared" si="10"/>
        <v>15612.870000001043</v>
      </c>
      <c r="M67" s="4">
        <f t="shared" si="10"/>
        <v>18334.609999999404</v>
      </c>
      <c r="N67" s="4">
        <f t="shared" si="10"/>
        <v>23196.579999998212</v>
      </c>
      <c r="O67" s="4">
        <f t="shared" si="10"/>
        <v>26618.379999995232</v>
      </c>
      <c r="P67" s="4">
        <f t="shared" si="10"/>
        <v>26618.379999995232</v>
      </c>
      <c r="Q67" s="4">
        <f t="shared" si="10"/>
        <v>26618.379999995232</v>
      </c>
      <c r="R67" s="4">
        <f t="shared" si="10"/>
        <v>26618.379999995232</v>
      </c>
      <c r="S67" s="4">
        <f t="shared" si="10"/>
        <v>26618.379999995232</v>
      </c>
      <c r="T67" s="4">
        <f t="shared" si="10"/>
        <v>26618.379999995232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8962235.7123414055</v>
      </c>
      <c r="F68" s="3">
        <f>'Cost-Benefit (BASE)'!F68*'Cost-Benefit (Cost-30%)'!$B$3</f>
        <v>0</v>
      </c>
      <c r="G68" s="3">
        <f>'Cost-Benefit (BASE)'!G68*'Cost-Benefit (Cost-30%)'!$B$3</f>
        <v>0</v>
      </c>
      <c r="H68" s="3">
        <f>'Cost-Benefit (BASE)'!H68*'Cost-Benefit (Cost-30%)'!$B$3</f>
        <v>899758.37823593721</v>
      </c>
      <c r="I68" s="3">
        <f>'Cost-Benefit (BASE)'!I68*'Cost-Benefit (Cost-30%)'!$B$3</f>
        <v>13833.785065377535</v>
      </c>
      <c r="J68" s="3">
        <f>'Cost-Benefit (BASE)'!J68*'Cost-Benefit (Cost-30%)'!$B$3</f>
        <v>14179.629692011973</v>
      </c>
      <c r="K68" s="3">
        <f>'Cost-Benefit (BASE)'!K68*'Cost-Benefit (Cost-30%)'!$B$3</f>
        <v>5294284.8229513513</v>
      </c>
      <c r="L68" s="3">
        <f>'Cost-Benefit (BASE)'!L68*'Cost-Benefit (Cost-30%)'!$B$3</f>
        <v>96073.640496369539</v>
      </c>
      <c r="M68" s="3">
        <f>'Cost-Benefit (BASE)'!M68*'Cost-Benefit (Cost-30%)'!$B$3</f>
        <v>98475.481508778757</v>
      </c>
      <c r="N68" s="3">
        <f>'Cost-Benefit (BASE)'!N68*'Cost-Benefit (Cost-30%)'!$B$3</f>
        <v>100937.36854649823</v>
      </c>
      <c r="O68" s="3">
        <f>'Cost-Benefit (BASE)'!O68*'Cost-Benefit (Cost-30%)'!$B$3</f>
        <v>103460.80276016066</v>
      </c>
      <c r="P68" s="3">
        <f>'Cost-Benefit (BASE)'!P68*'Cost-Benefit (Cost-30%)'!$B$3</f>
        <v>106047.32282916468</v>
      </c>
      <c r="Q68" s="3">
        <f>'Cost-Benefit (BASE)'!Q68*'Cost-Benefit (Cost-30%)'!$B$3</f>
        <v>108698.50589989379</v>
      </c>
      <c r="R68" s="3">
        <f>'Cost-Benefit (BASE)'!R68*'Cost-Benefit (Cost-30%)'!$B$3</f>
        <v>111415.96854739112</v>
      </c>
      <c r="S68" s="3">
        <f>'Cost-Benefit (BASE)'!S68*'Cost-Benefit (Cost-30%)'!$B$3</f>
        <v>114201.3677610759</v>
      </c>
      <c r="T68" s="3">
        <f>'Cost-Benefit (BASE)'!T68*'Cost-Benefit (Cost-30%)'!$B$3</f>
        <v>8994424.8457524218</v>
      </c>
    </row>
    <row r="69" spans="1:20" x14ac:dyDescent="0.25">
      <c r="A69" s="1" t="s">
        <v>35</v>
      </c>
      <c r="E69" s="4">
        <f>E67-E68</f>
        <v>-8810855.3131647613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190889650.73949873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151380.39917664335</v>
      </c>
      <c r="F73" s="4">
        <f>F$6-F72</f>
        <v>0</v>
      </c>
      <c r="G73" s="4">
        <f t="shared" ref="G73:T73" si="11">G$6-G72</f>
        <v>0</v>
      </c>
      <c r="H73" s="4">
        <f t="shared" si="11"/>
        <v>6911.8199999993667</v>
      </c>
      <c r="I73" s="4">
        <f t="shared" si="11"/>
        <v>9170.6699999999255</v>
      </c>
      <c r="J73" s="4">
        <f t="shared" si="11"/>
        <v>13231.220000000671</v>
      </c>
      <c r="K73" s="4">
        <f t="shared" si="11"/>
        <v>15713.530000001192</v>
      </c>
      <c r="L73" s="4">
        <f t="shared" si="11"/>
        <v>15612.870000001043</v>
      </c>
      <c r="M73" s="4">
        <f t="shared" si="11"/>
        <v>18334.609999999404</v>
      </c>
      <c r="N73" s="4">
        <f t="shared" si="11"/>
        <v>23196.579999998212</v>
      </c>
      <c r="O73" s="4">
        <f t="shared" si="11"/>
        <v>26618.379999995232</v>
      </c>
      <c r="P73" s="4">
        <f t="shared" si="11"/>
        <v>26618.379999995232</v>
      </c>
      <c r="Q73" s="4">
        <f t="shared" si="11"/>
        <v>26618.379999995232</v>
      </c>
      <c r="R73" s="4">
        <f t="shared" si="11"/>
        <v>26618.379999995232</v>
      </c>
      <c r="S73" s="4">
        <f t="shared" si="11"/>
        <v>26618.379999995232</v>
      </c>
      <c r="T73" s="4">
        <f t="shared" si="11"/>
        <v>26618.379999995232</v>
      </c>
    </row>
    <row r="74" spans="1:20" x14ac:dyDescent="0.25">
      <c r="A74" s="1" t="s">
        <v>34</v>
      </c>
      <c r="D74" s="3"/>
      <c r="E74" s="3">
        <f>NPV($B$2,G74:T74)+F74</f>
        <v>9210685.9020527788</v>
      </c>
      <c r="F74" s="3">
        <f>'Cost-Benefit (BASE)'!F74*'Cost-Benefit (Cost-30%)'!$B$3</f>
        <v>0</v>
      </c>
      <c r="G74" s="3">
        <f>'Cost-Benefit (BASE)'!G74*'Cost-Benefit (Cost-30%)'!$B$3</f>
        <v>0</v>
      </c>
      <c r="H74" s="3">
        <f>'Cost-Benefit (BASE)'!H74*'Cost-Benefit (Cost-30%)'!$B$3</f>
        <v>1145779.9644156247</v>
      </c>
      <c r="I74" s="3">
        <f>'Cost-Benefit (BASE)'!I74*'Cost-Benefit (Cost-30%)'!$B$3</f>
        <v>17616.366952890228</v>
      </c>
      <c r="J74" s="3">
        <f>'Cost-Benefit (BASE)'!J74*'Cost-Benefit (Cost-30%)'!$B$3</f>
        <v>18056.776126712481</v>
      </c>
      <c r="K74" s="3">
        <f>'Cost-Benefit (BASE)'!K74*'Cost-Benefit (Cost-30%)'!$B$3</f>
        <v>5298258.8980469191</v>
      </c>
      <c r="L74" s="3">
        <f>'Cost-Benefit (BASE)'!L74*'Cost-Benefit (Cost-30%)'!$B$3</f>
        <v>100147.06746932676</v>
      </c>
      <c r="M74" s="3">
        <f>'Cost-Benefit (BASE)'!M74*'Cost-Benefit (Cost-30%)'!$B$3</f>
        <v>102650.74415605991</v>
      </c>
      <c r="N74" s="3">
        <f>'Cost-Benefit (BASE)'!N74*'Cost-Benefit (Cost-30%)'!$B$3</f>
        <v>105217.01275996141</v>
      </c>
      <c r="O74" s="3">
        <f>'Cost-Benefit (BASE)'!O74*'Cost-Benefit (Cost-30%)'!$B$3</f>
        <v>107847.43807896043</v>
      </c>
      <c r="P74" s="3">
        <f>'Cost-Benefit (BASE)'!P74*'Cost-Benefit (Cost-30%)'!$B$3</f>
        <v>110543.62403093444</v>
      </c>
      <c r="Q74" s="3">
        <f>'Cost-Benefit (BASE)'!Q74*'Cost-Benefit (Cost-30%)'!$B$3</f>
        <v>113307.21463170779</v>
      </c>
      <c r="R74" s="3">
        <f>'Cost-Benefit (BASE)'!R74*'Cost-Benefit (Cost-30%)'!$B$3</f>
        <v>116139.89499750047</v>
      </c>
      <c r="S74" s="3">
        <f>'Cost-Benefit (BASE)'!S74*'Cost-Benefit (Cost-30%)'!$B$3</f>
        <v>119043.39237243797</v>
      </c>
      <c r="T74" s="3">
        <f>'Cost-Benefit (BASE)'!T74*'Cost-Benefit (Cost-30%)'!$B$3</f>
        <v>8999387.9209790677</v>
      </c>
    </row>
    <row r="75" spans="1:20" x14ac:dyDescent="0.25">
      <c r="A75" s="1" t="s">
        <v>35</v>
      </c>
      <c r="E75" s="4">
        <f>E73-E74</f>
        <v>-9059305.5028761346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8" sqref="B38"/>
    </sheetView>
  </sheetViews>
  <sheetFormatPr defaultRowHeight="15" x14ac:dyDescent="0.25"/>
  <cols>
    <col min="1" max="1" width="14.28515625" style="44" bestFit="1" customWidth="1"/>
    <col min="2" max="2" width="30.28515625" bestFit="1" customWidth="1"/>
    <col min="3" max="3" width="7.42578125" bestFit="1" customWidth="1"/>
    <col min="4" max="4" width="30.28515625" bestFit="1" customWidth="1"/>
    <col min="5" max="5" width="7.42578125" bestFit="1" customWidth="1"/>
    <col min="6" max="6" width="30.28515625" bestFit="1" customWidth="1"/>
    <col min="7" max="7" width="7.42578125" bestFit="1" customWidth="1"/>
    <col min="8" max="8" width="30.28515625" bestFit="1" customWidth="1"/>
    <col min="9" max="9" width="7.42578125" bestFit="1" customWidth="1"/>
    <col min="10" max="10" width="30.28515625" bestFit="1" customWidth="1"/>
    <col min="11" max="11" width="7.42578125" bestFit="1" customWidth="1"/>
    <col min="12" max="12" width="30.28515625" bestFit="1" customWidth="1"/>
    <col min="13" max="13" width="7.42578125" bestFit="1" customWidth="1"/>
    <col min="14" max="14" width="26.42578125" bestFit="1" customWidth="1"/>
    <col min="15" max="15" width="22" customWidth="1"/>
    <col min="16" max="16" width="21.28515625" customWidth="1"/>
    <col min="17" max="17" width="15.5703125" customWidth="1"/>
  </cols>
  <sheetData>
    <row r="1" spans="1:17" s="44" customFormat="1" x14ac:dyDescent="0.25">
      <c r="A1" s="141" t="s">
        <v>38</v>
      </c>
      <c r="B1" s="52" t="s">
        <v>39</v>
      </c>
      <c r="C1" s="53" t="s">
        <v>45</v>
      </c>
      <c r="D1" s="52" t="s">
        <v>39</v>
      </c>
      <c r="E1" s="53" t="s">
        <v>45</v>
      </c>
      <c r="F1" s="52" t="s">
        <v>39</v>
      </c>
      <c r="G1" s="53" t="s">
        <v>45</v>
      </c>
      <c r="H1" s="52" t="s">
        <v>39</v>
      </c>
      <c r="I1" s="53" t="s">
        <v>45</v>
      </c>
      <c r="J1" s="52" t="s">
        <v>39</v>
      </c>
      <c r="K1" s="53" t="s">
        <v>45</v>
      </c>
      <c r="L1" s="52" t="s">
        <v>39</v>
      </c>
      <c r="M1" s="53" t="s">
        <v>45</v>
      </c>
      <c r="N1" s="135" t="s">
        <v>47</v>
      </c>
      <c r="O1" s="138" t="s">
        <v>48</v>
      </c>
      <c r="P1" s="135" t="s">
        <v>49</v>
      </c>
      <c r="Q1" s="135" t="s">
        <v>81</v>
      </c>
    </row>
    <row r="2" spans="1:17" s="44" customFormat="1" ht="38.25" customHeight="1" x14ac:dyDescent="0.25">
      <c r="A2" s="142"/>
      <c r="B2" s="137" t="s">
        <v>46</v>
      </c>
      <c r="C2" s="137"/>
      <c r="D2" s="137" t="s">
        <v>44</v>
      </c>
      <c r="E2" s="137"/>
      <c r="F2" s="137" t="s">
        <v>43</v>
      </c>
      <c r="G2" s="137"/>
      <c r="H2" s="137" t="s">
        <v>40</v>
      </c>
      <c r="I2" s="137"/>
      <c r="J2" s="137" t="s">
        <v>41</v>
      </c>
      <c r="K2" s="137"/>
      <c r="L2" s="137" t="s">
        <v>42</v>
      </c>
      <c r="M2" s="137"/>
      <c r="N2" s="140"/>
      <c r="O2" s="139"/>
      <c r="P2" s="136"/>
      <c r="Q2" s="136"/>
    </row>
    <row r="3" spans="1:17" x14ac:dyDescent="0.25">
      <c r="A3" s="110" t="str">
        <f>'Cost-Benefit (BASE)'!A4</f>
        <v>Do Nothing</v>
      </c>
      <c r="B3" s="105">
        <f>'Cost-Benefit (BASE)'!$E$9</f>
        <v>0</v>
      </c>
      <c r="C3" s="62">
        <f t="shared" ref="C3:C14" si="0">_xlfn.RANK.EQ(B3,B$3:B$14)</f>
        <v>10</v>
      </c>
      <c r="D3" s="66">
        <f>'Cost-Benefit (VCR+20%)'!$E$9</f>
        <v>0</v>
      </c>
      <c r="E3" s="62">
        <f t="shared" ref="E3:E14" si="1">_xlfn.RANK.EQ(D3,D$3:D$14)</f>
        <v>10</v>
      </c>
      <c r="F3" s="66">
        <f>'Cost-Benefit (VCR-20%)'!$E$9</f>
        <v>0</v>
      </c>
      <c r="G3" s="62">
        <f t="shared" ref="G3:G14" si="2">_xlfn.RANK.EQ(F3,F$3:F$14)</f>
        <v>10</v>
      </c>
      <c r="H3" s="66">
        <f>'Cost-Benefit (Disc rate high)'!$E$9</f>
        <v>0</v>
      </c>
      <c r="I3" s="62">
        <f t="shared" ref="I3:I14" si="3">_xlfn.RANK.EQ(H3,H$3:H$14)</f>
        <v>10</v>
      </c>
      <c r="J3" s="66">
        <f>'Cost-Benefit (Cost+30%)'!$E$9</f>
        <v>0</v>
      </c>
      <c r="K3" s="62">
        <f t="shared" ref="K3:K14" si="4">_xlfn.RANK.EQ(J3,J$3:J$14)</f>
        <v>10</v>
      </c>
      <c r="L3" s="66">
        <f>'Cost-Benefit (Cost-30%)'!$E$9</f>
        <v>0</v>
      </c>
      <c r="M3" s="62">
        <f t="shared" ref="M3:M14" si="5">_xlfn.RANK.EQ(L3,L$3:L$14)</f>
        <v>10</v>
      </c>
      <c r="N3" s="62"/>
      <c r="O3" s="105">
        <f>IF(Q3="yes",AVERAGE(B3,D3,F3,H3,J3,L3),"not ranked")</f>
        <v>0</v>
      </c>
      <c r="P3" s="62">
        <f t="shared" ref="P3:P14" si="6">_xlfn.RANK.EQ(O3,O$3:O$14)</f>
        <v>10</v>
      </c>
      <c r="Q3" s="63" t="s">
        <v>80</v>
      </c>
    </row>
    <row r="4" spans="1:17" x14ac:dyDescent="0.25">
      <c r="A4" s="106" t="str">
        <f>'Cost-Benefit (BASE)'!A10</f>
        <v>Option 1a</v>
      </c>
      <c r="B4" s="50">
        <f>'Cost-Benefit (BASE)'!$E$15</f>
        <v>167844838.86920714</v>
      </c>
      <c r="C4" s="22">
        <f t="shared" si="0"/>
        <v>5</v>
      </c>
      <c r="D4" s="45">
        <f>'Cost-Benefit (VCR+20%)'!$E$15</f>
        <v>204755136.56000978</v>
      </c>
      <c r="E4" s="22">
        <f t="shared" si="1"/>
        <v>5</v>
      </c>
      <c r="F4" s="45">
        <f>'Cost-Benefit (VCR-20%)'!$E$15</f>
        <v>130934541.17840448</v>
      </c>
      <c r="G4" s="22">
        <f t="shared" si="2"/>
        <v>5</v>
      </c>
      <c r="H4" s="45">
        <f>'Cost-Benefit (Disc rate high)'!$E$15</f>
        <v>143064736.24323538</v>
      </c>
      <c r="I4" s="22">
        <f t="shared" si="3"/>
        <v>5</v>
      </c>
      <c r="J4" s="45">
        <f>'Cost-Benefit (Cost+30%)'!$E$15</f>
        <v>162832843.99376529</v>
      </c>
      <c r="K4" s="22">
        <f t="shared" si="4"/>
        <v>5</v>
      </c>
      <c r="L4" s="45">
        <f>'Cost-Benefit (Cost-30%)'!$E$15</f>
        <v>172856833.74464902</v>
      </c>
      <c r="M4" s="22">
        <f t="shared" si="5"/>
        <v>5</v>
      </c>
      <c r="N4" s="22"/>
      <c r="O4" s="50">
        <f t="shared" ref="O4:O14" si="7">IF(Q4="yes",AVERAGE(B4,D4,F4,H4,J4,L4),"not ranked")</f>
        <v>163714821.76487854</v>
      </c>
      <c r="P4" s="22">
        <f t="shared" si="6"/>
        <v>5</v>
      </c>
      <c r="Q4" s="108" t="s">
        <v>80</v>
      </c>
    </row>
    <row r="5" spans="1:17" x14ac:dyDescent="0.25">
      <c r="A5" s="106" t="str">
        <f>'Cost-Benefit (BASE)'!A16</f>
        <v>Option 1b</v>
      </c>
      <c r="B5" s="131">
        <f>'Cost-Benefit (BASE)'!$E$21</f>
        <v>171951207.61118844</v>
      </c>
      <c r="C5" s="132">
        <f t="shared" si="0"/>
        <v>1</v>
      </c>
      <c r="D5" s="133">
        <f>'Cost-Benefit (VCR+20%)'!$E$21</f>
        <v>208861505.30199108</v>
      </c>
      <c r="E5" s="132">
        <f t="shared" si="1"/>
        <v>1</v>
      </c>
      <c r="F5" s="133">
        <f>'Cost-Benefit (VCR-20%)'!$E$21</f>
        <v>135040909.92038578</v>
      </c>
      <c r="G5" s="132">
        <f t="shared" si="2"/>
        <v>1</v>
      </c>
      <c r="H5" s="133">
        <f>'Cost-Benefit (Disc rate high)'!$E$21</f>
        <v>146979699.49088964</v>
      </c>
      <c r="I5" s="132">
        <f t="shared" si="3"/>
        <v>1</v>
      </c>
      <c r="J5" s="133">
        <f>'Cost-Benefit (Cost+30%)'!$E$21</f>
        <v>168171123.35834095</v>
      </c>
      <c r="K5" s="132">
        <f t="shared" si="4"/>
        <v>1</v>
      </c>
      <c r="L5" s="133">
        <f>'Cost-Benefit (Cost-30%)'!$E$21</f>
        <v>175731291.8640359</v>
      </c>
      <c r="M5" s="132">
        <f t="shared" si="5"/>
        <v>1</v>
      </c>
      <c r="N5" s="132" t="s">
        <v>94</v>
      </c>
      <c r="O5" s="131">
        <f t="shared" si="7"/>
        <v>167789289.59113863</v>
      </c>
      <c r="P5" s="132">
        <f t="shared" si="6"/>
        <v>1</v>
      </c>
      <c r="Q5" s="108" t="s">
        <v>80</v>
      </c>
    </row>
    <row r="6" spans="1:17" x14ac:dyDescent="0.25">
      <c r="A6" s="106" t="str">
        <f>'Cost-Benefit (BASE)'!A22</f>
        <v>Option 1c</v>
      </c>
      <c r="B6" s="50">
        <f>'Cost-Benefit (BASE)'!$E$27</f>
        <v>167604133.70986468</v>
      </c>
      <c r="C6" s="22">
        <f t="shared" si="0"/>
        <v>6</v>
      </c>
      <c r="D6" s="45">
        <f>'Cost-Benefit (VCR+20%)'!$E$27</f>
        <v>204514431.40066731</v>
      </c>
      <c r="E6" s="22">
        <f t="shared" si="1"/>
        <v>6</v>
      </c>
      <c r="F6" s="45">
        <f>'Cost-Benefit (VCR-20%)'!$E$27</f>
        <v>130693836.01906203</v>
      </c>
      <c r="G6" s="22">
        <f t="shared" si="2"/>
        <v>6</v>
      </c>
      <c r="H6" s="45">
        <f>'Cost-Benefit (Disc rate high)'!$E$27</f>
        <v>142927782.72117621</v>
      </c>
      <c r="I6" s="22">
        <f t="shared" si="3"/>
        <v>6</v>
      </c>
      <c r="J6" s="45">
        <f>'Cost-Benefit (Cost+30%)'!$E$27</f>
        <v>162519927.28662008</v>
      </c>
      <c r="K6" s="22">
        <f t="shared" si="4"/>
        <v>6</v>
      </c>
      <c r="L6" s="45">
        <f>'Cost-Benefit (Cost-30%)'!$E$27</f>
        <v>172688340.13310927</v>
      </c>
      <c r="M6" s="22">
        <f t="shared" si="5"/>
        <v>6</v>
      </c>
      <c r="N6" s="22"/>
      <c r="O6" s="50">
        <f t="shared" si="7"/>
        <v>163491408.54508328</v>
      </c>
      <c r="P6" s="22">
        <f t="shared" si="6"/>
        <v>6</v>
      </c>
      <c r="Q6" s="108" t="s">
        <v>80</v>
      </c>
    </row>
    <row r="7" spans="1:17" x14ac:dyDescent="0.25">
      <c r="A7" s="106" t="str">
        <f>'Cost-Benefit (BASE)'!A28</f>
        <v>Option 1d</v>
      </c>
      <c r="B7" s="50">
        <f>'Cost-Benefit (BASE)'!$E$33</f>
        <v>171646217.71631581</v>
      </c>
      <c r="C7" s="22">
        <f t="shared" si="0"/>
        <v>2</v>
      </c>
      <c r="D7" s="45">
        <f>'Cost-Benefit (VCR+20%)'!$E$33</f>
        <v>208556515.40711844</v>
      </c>
      <c r="E7" s="22">
        <f t="shared" si="1"/>
        <v>2</v>
      </c>
      <c r="F7" s="45">
        <f>'Cost-Benefit (VCR-20%)'!$E$33</f>
        <v>134735920.02551314</v>
      </c>
      <c r="G7" s="22">
        <f t="shared" si="2"/>
        <v>2</v>
      </c>
      <c r="H7" s="45">
        <f>'Cost-Benefit (Disc rate high)'!$E$33</f>
        <v>146781457.66454041</v>
      </c>
      <c r="I7" s="22">
        <f t="shared" si="3"/>
        <v>2</v>
      </c>
      <c r="J7" s="45">
        <f>'Cost-Benefit (Cost+30%)'!$E$33</f>
        <v>167774636.49500653</v>
      </c>
      <c r="K7" s="22">
        <f t="shared" si="4"/>
        <v>2</v>
      </c>
      <c r="L7" s="45">
        <f>'Cost-Benefit (Cost-30%)'!$E$33</f>
        <v>175517798.93762508</v>
      </c>
      <c r="M7" s="22">
        <f t="shared" si="5"/>
        <v>2</v>
      </c>
      <c r="N7" s="22"/>
      <c r="O7" s="50">
        <f t="shared" si="7"/>
        <v>167502091.04101989</v>
      </c>
      <c r="P7" s="22">
        <f t="shared" si="6"/>
        <v>2</v>
      </c>
      <c r="Q7" s="108" t="s">
        <v>80</v>
      </c>
    </row>
    <row r="8" spans="1:17" x14ac:dyDescent="0.25">
      <c r="A8" s="106" t="str">
        <f>'Cost-Benefit (BASE)'!A34</f>
        <v>Option 2</v>
      </c>
      <c r="B8" s="50">
        <f>'Cost-Benefit (BASE)'!$E$39</f>
        <v>164824008.13734332</v>
      </c>
      <c r="C8" s="22">
        <f t="shared" si="0"/>
        <v>7</v>
      </c>
      <c r="D8" s="45">
        <f>'Cost-Benefit (VCR+20%)'!$E$39</f>
        <v>201734305.82814595</v>
      </c>
      <c r="E8" s="22">
        <f t="shared" si="1"/>
        <v>7</v>
      </c>
      <c r="F8" s="45">
        <f>'Cost-Benefit (VCR-20%)'!$E$39</f>
        <v>127913710.44654065</v>
      </c>
      <c r="G8" s="22">
        <f t="shared" si="2"/>
        <v>7</v>
      </c>
      <c r="H8" s="45">
        <f>'Cost-Benefit (Disc rate high)'!$E$39</f>
        <v>139358862.09624335</v>
      </c>
      <c r="I8" s="22">
        <f t="shared" si="3"/>
        <v>7</v>
      </c>
      <c r="J8" s="45">
        <f>'Cost-Benefit (Cost+30%)'!$E$39</f>
        <v>158905764.04234231</v>
      </c>
      <c r="K8" s="22">
        <f t="shared" si="4"/>
        <v>7</v>
      </c>
      <c r="L8" s="45">
        <f>'Cost-Benefit (Cost-30%)'!$E$39</f>
        <v>170742252.23234433</v>
      </c>
      <c r="M8" s="22">
        <f t="shared" si="5"/>
        <v>7</v>
      </c>
      <c r="N8" s="22"/>
      <c r="O8" s="50">
        <f t="shared" si="7"/>
        <v>160579817.13049331</v>
      </c>
      <c r="P8" s="22">
        <f t="shared" si="6"/>
        <v>7</v>
      </c>
      <c r="Q8" s="108" t="s">
        <v>80</v>
      </c>
    </row>
    <row r="9" spans="1:17" x14ac:dyDescent="0.25">
      <c r="A9" s="106" t="str">
        <f>'Cost-Benefit (BASE)'!A40</f>
        <v>Option 3</v>
      </c>
      <c r="B9" s="50">
        <f>'Cost-Benefit (BASE)'!$E$45</f>
        <v>138963331.59945196</v>
      </c>
      <c r="C9" s="22">
        <f t="shared" si="0"/>
        <v>9</v>
      </c>
      <c r="D9" s="45">
        <f>'Cost-Benefit (VCR+20%)'!$E$45</f>
        <v>175873629.29025459</v>
      </c>
      <c r="E9" s="22">
        <f t="shared" si="1"/>
        <v>9</v>
      </c>
      <c r="F9" s="45">
        <f>'Cost-Benefit (VCR-20%)'!$E$45</f>
        <v>102053033.9086493</v>
      </c>
      <c r="G9" s="22">
        <f t="shared" si="2"/>
        <v>9</v>
      </c>
      <c r="H9" s="45">
        <f>'Cost-Benefit (Disc rate high)'!$E$45</f>
        <v>114611067.93040675</v>
      </c>
      <c r="I9" s="22">
        <f t="shared" si="3"/>
        <v>9</v>
      </c>
      <c r="J9" s="45">
        <f>'Cost-Benefit (Cost+30%)'!$E$45</f>
        <v>125286884.54308356</v>
      </c>
      <c r="K9" s="22">
        <f t="shared" si="4"/>
        <v>9</v>
      </c>
      <c r="L9" s="45">
        <f>'Cost-Benefit (Cost-30%)'!$E$45</f>
        <v>152639778.6558204</v>
      </c>
      <c r="M9" s="22">
        <f t="shared" si="5"/>
        <v>9</v>
      </c>
      <c r="N9" s="22"/>
      <c r="O9" s="50">
        <f t="shared" si="7"/>
        <v>134904620.98794442</v>
      </c>
      <c r="P9" s="22">
        <f t="shared" si="6"/>
        <v>9</v>
      </c>
      <c r="Q9" s="108" t="s">
        <v>80</v>
      </c>
    </row>
    <row r="10" spans="1:17" x14ac:dyDescent="0.25">
      <c r="A10" s="106" t="str">
        <f>'Cost-Benefit (BASE)'!A46</f>
        <v>Option 4</v>
      </c>
      <c r="B10" s="50">
        <f>'Cost-Benefit (BASE)'!$E$51</f>
        <v>168063572.88492826</v>
      </c>
      <c r="C10" s="22">
        <f t="shared" si="0"/>
        <v>4</v>
      </c>
      <c r="D10" s="45">
        <f>'Cost-Benefit (VCR+20%)'!$E$51</f>
        <v>204973186.5381141</v>
      </c>
      <c r="E10" s="22">
        <f t="shared" si="1"/>
        <v>4</v>
      </c>
      <c r="F10" s="45">
        <f>'Cost-Benefit (VCR-20%)'!$E$51</f>
        <v>131153959.23174246</v>
      </c>
      <c r="G10" s="22">
        <f t="shared" si="2"/>
        <v>4</v>
      </c>
      <c r="H10" s="45">
        <f>'Cost-Benefit (Disc rate high)'!$E$51</f>
        <v>143458716.7536813</v>
      </c>
      <c r="I10" s="22">
        <f t="shared" si="3"/>
        <v>4</v>
      </c>
      <c r="J10" s="45">
        <f>'Cost-Benefit (Cost+30%)'!$E$51</f>
        <v>163118224.27062798</v>
      </c>
      <c r="K10" s="22">
        <f t="shared" si="4"/>
        <v>4</v>
      </c>
      <c r="L10" s="45">
        <f>'Cost-Benefit (Cost-30%)'!$E$51</f>
        <v>173008921.49922848</v>
      </c>
      <c r="M10" s="22">
        <f t="shared" si="5"/>
        <v>4</v>
      </c>
      <c r="N10" s="22"/>
      <c r="O10" s="50">
        <f t="shared" si="7"/>
        <v>163962763.52972043</v>
      </c>
      <c r="P10" s="22">
        <f t="shared" si="6"/>
        <v>4</v>
      </c>
      <c r="Q10" s="108" t="s">
        <v>80</v>
      </c>
    </row>
    <row r="11" spans="1:17" s="11" customFormat="1" x14ac:dyDescent="0.25">
      <c r="A11" s="125" t="str">
        <f>'Cost-Benefit (BASE)'!A52</f>
        <v>Option 5a</v>
      </c>
      <c r="B11" s="126">
        <f>'Cost-Benefit (BASE)'!$E$57</f>
        <v>170675523.01799977</v>
      </c>
      <c r="C11" s="127">
        <f t="shared" si="0"/>
        <v>3</v>
      </c>
      <c r="D11" s="128">
        <f>'Cost-Benefit (VCR+20%)'!$E$57</f>
        <v>207581637.78615153</v>
      </c>
      <c r="E11" s="127">
        <f t="shared" si="1"/>
        <v>3</v>
      </c>
      <c r="F11" s="128">
        <f>'Cost-Benefit (VCR-20%)'!$E$57</f>
        <v>133769408.24984796</v>
      </c>
      <c r="G11" s="127">
        <f t="shared" si="2"/>
        <v>3</v>
      </c>
      <c r="H11" s="128">
        <f>'Cost-Benefit (Disc rate high)'!$E$57</f>
        <v>145849782.38646045</v>
      </c>
      <c r="I11" s="127">
        <f t="shared" si="3"/>
        <v>3</v>
      </c>
      <c r="J11" s="128">
        <f>'Cost-Benefit (Cost+30%)'!$E$57</f>
        <v>166519007.77117199</v>
      </c>
      <c r="K11" s="127">
        <f t="shared" si="4"/>
        <v>3</v>
      </c>
      <c r="L11" s="128">
        <f>'Cost-Benefit (Cost-30%)'!$E$57</f>
        <v>174832038.26482752</v>
      </c>
      <c r="M11" s="127">
        <f t="shared" si="5"/>
        <v>3</v>
      </c>
      <c r="N11" s="127"/>
      <c r="O11" s="126">
        <f t="shared" si="7"/>
        <v>166537899.57940987</v>
      </c>
      <c r="P11" s="127">
        <f t="shared" si="6"/>
        <v>3</v>
      </c>
      <c r="Q11" s="129" t="s">
        <v>80</v>
      </c>
    </row>
    <row r="12" spans="1:17" x14ac:dyDescent="0.25">
      <c r="A12" s="106" t="str">
        <f>'Cost-Benefit (BASE)'!A58</f>
        <v>Option 5b</v>
      </c>
      <c r="B12" s="50">
        <f>'Cost-Benefit (BASE)'!$E$63</f>
        <v>162830149.12248981</v>
      </c>
      <c r="C12" s="22">
        <f t="shared" si="0"/>
        <v>8</v>
      </c>
      <c r="D12" s="45">
        <f>'Cost-Benefit (VCR+20%)'!$E$63</f>
        <v>199198061.17622986</v>
      </c>
      <c r="E12" s="22">
        <f t="shared" si="1"/>
        <v>8</v>
      </c>
      <c r="F12" s="45">
        <f>'Cost-Benefit (VCR-20%)'!$E$63</f>
        <v>126462237.0687497</v>
      </c>
      <c r="G12" s="22">
        <f t="shared" si="2"/>
        <v>8</v>
      </c>
      <c r="H12" s="45">
        <f>'Cost-Benefit (Disc rate high)'!$E$63</f>
        <v>138275946.00038207</v>
      </c>
      <c r="I12" s="22">
        <f t="shared" si="3"/>
        <v>8</v>
      </c>
      <c r="J12" s="45">
        <f>'Cost-Benefit (Cost+30%)'!$E$63</f>
        <v>157127325.77862659</v>
      </c>
      <c r="K12" s="22">
        <f t="shared" si="4"/>
        <v>8</v>
      </c>
      <c r="L12" s="45">
        <f>'Cost-Benefit (Cost-30%)'!$E$63</f>
        <v>168532972.466353</v>
      </c>
      <c r="M12" s="22">
        <f t="shared" si="5"/>
        <v>8</v>
      </c>
      <c r="N12" s="22"/>
      <c r="O12" s="50">
        <f t="shared" si="7"/>
        <v>158737781.9354718</v>
      </c>
      <c r="P12" s="22">
        <f t="shared" si="6"/>
        <v>8</v>
      </c>
      <c r="Q12" s="108" t="s">
        <v>80</v>
      </c>
    </row>
    <row r="13" spans="1:17" x14ac:dyDescent="0.25">
      <c r="A13" s="106" t="str">
        <f>'Cost-Benefit (BASE)'!A64</f>
        <v>Option 6</v>
      </c>
      <c r="B13" s="50">
        <f>'Cost-Benefit (BASE)'!$E$69</f>
        <v>-12651813.475596793</v>
      </c>
      <c r="C13" s="22">
        <f t="shared" si="0"/>
        <v>11</v>
      </c>
      <c r="D13" s="45">
        <f>'Cost-Benefit (VCR+20%)'!$E$69</f>
        <v>-12621537.39576146</v>
      </c>
      <c r="E13" s="22">
        <f t="shared" si="1"/>
        <v>11</v>
      </c>
      <c r="F13" s="45">
        <f>'Cost-Benefit (VCR-20%)'!$E$69</f>
        <v>-12682089.555432118</v>
      </c>
      <c r="G13" s="22">
        <f t="shared" si="2"/>
        <v>11</v>
      </c>
      <c r="H13" s="45">
        <f>'Cost-Benefit (Disc rate high)'!$E$69</f>
        <v>-10879896.584593214</v>
      </c>
      <c r="I13" s="22">
        <f t="shared" si="3"/>
        <v>11</v>
      </c>
      <c r="J13" s="45">
        <f>'Cost-Benefit (Cost+30%)'!$E$69</f>
        <v>-16492771.638028823</v>
      </c>
      <c r="K13" s="22">
        <f t="shared" si="4"/>
        <v>11</v>
      </c>
      <c r="L13" s="45">
        <f>'Cost-Benefit (Cost-30%)'!$E$69</f>
        <v>-8810855.3131647613</v>
      </c>
      <c r="M13" s="22">
        <f t="shared" si="5"/>
        <v>11</v>
      </c>
      <c r="N13" s="22"/>
      <c r="O13" s="50">
        <f t="shared" si="7"/>
        <v>-12356493.99376286</v>
      </c>
      <c r="P13" s="22">
        <f t="shared" si="6"/>
        <v>11</v>
      </c>
      <c r="Q13" s="108" t="s">
        <v>80</v>
      </c>
    </row>
    <row r="14" spans="1:17" x14ac:dyDescent="0.25">
      <c r="A14" s="107" t="str">
        <f>'Cost-Benefit (BASE)'!A70</f>
        <v>Option 7</v>
      </c>
      <c r="B14" s="51">
        <f>'Cost-Benefit (BASE)'!$E$75</f>
        <v>-13006742.318041611</v>
      </c>
      <c r="C14" s="47">
        <f t="shared" si="0"/>
        <v>12</v>
      </c>
      <c r="D14" s="46">
        <f>'Cost-Benefit (VCR+20%)'!$E$75</f>
        <v>-12976466.238206279</v>
      </c>
      <c r="E14" s="47">
        <f t="shared" si="1"/>
        <v>12</v>
      </c>
      <c r="F14" s="46">
        <f>'Cost-Benefit (VCR-20%)'!$E$75</f>
        <v>-13037018.397876937</v>
      </c>
      <c r="G14" s="47">
        <f t="shared" si="2"/>
        <v>12</v>
      </c>
      <c r="H14" s="46">
        <f>'Cost-Benefit (Disc rate high)'!$E$75</f>
        <v>-11218281.532710051</v>
      </c>
      <c r="I14" s="47">
        <f t="shared" si="3"/>
        <v>12</v>
      </c>
      <c r="J14" s="46">
        <f>'Cost-Benefit (Cost+30%)'!$E$75</f>
        <v>-16954179.13320709</v>
      </c>
      <c r="K14" s="47">
        <f t="shared" si="4"/>
        <v>12</v>
      </c>
      <c r="L14" s="46">
        <f>'Cost-Benefit (Cost-30%)'!$E$75</f>
        <v>-9059305.5028761346</v>
      </c>
      <c r="M14" s="47">
        <f t="shared" si="5"/>
        <v>12</v>
      </c>
      <c r="N14" s="47"/>
      <c r="O14" s="51">
        <f t="shared" si="7"/>
        <v>-12708665.520486349</v>
      </c>
      <c r="P14" s="47">
        <f t="shared" si="6"/>
        <v>12</v>
      </c>
      <c r="Q14" s="109" t="s">
        <v>80</v>
      </c>
    </row>
  </sheetData>
  <mergeCells count="11">
    <mergeCell ref="A1:A2"/>
    <mergeCell ref="B2:C2"/>
    <mergeCell ref="D2:E2"/>
    <mergeCell ref="F2:G2"/>
    <mergeCell ref="H2:I2"/>
    <mergeCell ref="Q1:Q2"/>
    <mergeCell ref="J2:K2"/>
    <mergeCell ref="L2:M2"/>
    <mergeCell ref="P1:P2"/>
    <mergeCell ref="O1:O2"/>
    <mergeCell ref="N1:N2"/>
  </mergeCells>
  <conditionalFormatting sqref="O3:O14">
    <cfRule type="containsText" dxfId="0" priority="1" operator="containsText" text="not ranked">
      <formula>NOT(ISERROR(SEARCH("not ranked",O3)))</formula>
    </cfRule>
  </conditionalFormatting>
  <pageMargins left="0.7" right="0.7" top="0.75" bottom="0.75" header="0.3" footer="0.3"/>
  <pageSetup paperSize="9" orientation="portrait" horizontalDpi="300" verticalDpi="300" r:id="rId1"/>
  <ignoredErrors>
    <ignoredError sqref="D3:D5 F3:F5 H3:H5 J3:J5 L3:L5 D6:D11 F6:F11 H6:H11 J6:J11 L6:L11 D12 F12 H12 J12 L12 D13:D14 F13:F14 H13:H14 J13:J14 L13:L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abSelected="1" topLeftCell="A7" zoomScale="70" zoomScaleNormal="70" workbookViewId="0">
      <selection activeCell="D11" sqref="D11"/>
    </sheetView>
  </sheetViews>
  <sheetFormatPr defaultRowHeight="15" x14ac:dyDescent="0.25"/>
  <cols>
    <col min="1" max="1" width="36.5703125" bestFit="1" customWidth="1"/>
    <col min="2" max="2" width="12.85546875" customWidth="1"/>
    <col min="3" max="3" width="14.42578125" bestFit="1" customWidth="1"/>
    <col min="4" max="4" width="17.42578125" bestFit="1" customWidth="1"/>
    <col min="5" max="5" width="28.140625" bestFit="1" customWidth="1"/>
    <col min="6" max="6" width="14.42578125" bestFit="1" customWidth="1"/>
    <col min="7" max="7" width="17.140625" bestFit="1" customWidth="1"/>
    <col min="8" max="8" width="17.42578125" bestFit="1" customWidth="1"/>
    <col min="9" max="9" width="17.140625" bestFit="1" customWidth="1"/>
    <col min="10" max="13" width="15.28515625" bestFit="1" customWidth="1"/>
    <col min="14" max="19" width="15.7109375" bestFit="1" customWidth="1"/>
    <col min="20" max="20" width="18.5703125" bestFit="1" customWidth="1"/>
    <col min="21" max="62" width="9.140625" customWidth="1"/>
  </cols>
  <sheetData>
    <row r="1" spans="1:21" x14ac:dyDescent="0.25">
      <c r="A1" t="s">
        <v>26</v>
      </c>
      <c r="C1" s="2"/>
      <c r="E1" s="61" t="s">
        <v>50</v>
      </c>
      <c r="F1" s="62">
        <v>2016</v>
      </c>
      <c r="G1" s="62">
        <v>2017</v>
      </c>
      <c r="H1" s="62">
        <v>2018</v>
      </c>
      <c r="I1" s="62">
        <v>2019</v>
      </c>
      <c r="J1" s="62">
        <v>2020</v>
      </c>
      <c r="K1" s="62">
        <v>2021</v>
      </c>
      <c r="L1" s="62">
        <v>2022</v>
      </c>
      <c r="M1" s="62">
        <v>2023</v>
      </c>
      <c r="N1" s="62">
        <v>2024</v>
      </c>
      <c r="O1" s="62">
        <v>2025</v>
      </c>
      <c r="P1" s="62">
        <v>2026</v>
      </c>
      <c r="Q1" s="62">
        <v>2027</v>
      </c>
      <c r="R1" s="62">
        <v>2028</v>
      </c>
      <c r="S1" s="62">
        <v>2029</v>
      </c>
      <c r="T1" s="63">
        <v>2030</v>
      </c>
    </row>
    <row r="2" spans="1:21" x14ac:dyDescent="0.25">
      <c r="A2" t="s">
        <v>28</v>
      </c>
      <c r="C2" s="4">
        <f>NPV(0.0637,G2:T2)+F2</f>
        <v>191041031.13867536</v>
      </c>
      <c r="E2" s="49"/>
      <c r="F2" s="64">
        <f>'Cost-Benefit (BASE)'!F6</f>
        <v>2784207.75</v>
      </c>
      <c r="G2" s="64">
        <f>'Cost-Benefit (BASE)'!G6</f>
        <v>3941364.77</v>
      </c>
      <c r="H2" s="64">
        <f>'Cost-Benefit (BASE)'!H6</f>
        <v>5882444.3099999996</v>
      </c>
      <c r="I2" s="64">
        <f>'Cost-Benefit (BASE)'!I6</f>
        <v>8491408.9800000004</v>
      </c>
      <c r="J2" s="64">
        <f>'Cost-Benefit (BASE)'!J6</f>
        <v>13508407.34</v>
      </c>
      <c r="K2" s="64">
        <f>'Cost-Benefit (BASE)'!K6</f>
        <v>16944559.32</v>
      </c>
      <c r="L2" s="64">
        <f>'Cost-Benefit (BASE)'!L6</f>
        <v>17458854.210000001</v>
      </c>
      <c r="M2" s="64">
        <f>'Cost-Benefit (BASE)'!M6</f>
        <v>22339013.989999998</v>
      </c>
      <c r="N2" s="64">
        <f>'Cost-Benefit (BASE)'!N6</f>
        <v>28976674.899999999</v>
      </c>
      <c r="O2" s="64">
        <f>'Cost-Benefit (BASE)'!O6</f>
        <v>35426939.979999997</v>
      </c>
      <c r="P2" s="64">
        <f>'Cost-Benefit (BASE)'!P6</f>
        <v>35426939.979999997</v>
      </c>
      <c r="Q2" s="64">
        <f>'Cost-Benefit (BASE)'!Q6</f>
        <v>35426939.979999997</v>
      </c>
      <c r="R2" s="64">
        <f>'Cost-Benefit (BASE)'!R6</f>
        <v>35426939.979999997</v>
      </c>
      <c r="S2" s="64">
        <f>'Cost-Benefit (BASE)'!S6</f>
        <v>35426939.979999997</v>
      </c>
      <c r="T2" s="64">
        <f>'Cost-Benefit (BASE)'!T6</f>
        <v>35426939.979999997</v>
      </c>
    </row>
    <row r="3" spans="1:21" x14ac:dyDescent="0.25">
      <c r="A3" t="s">
        <v>4</v>
      </c>
      <c r="B3" s="5">
        <v>6.3700000000000007E-2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1" x14ac:dyDescent="0.25">
      <c r="A4" s="1" t="s">
        <v>8</v>
      </c>
      <c r="E4" s="54" t="s">
        <v>90</v>
      </c>
      <c r="F4" s="55">
        <v>2016</v>
      </c>
      <c r="G4" s="55">
        <v>2017</v>
      </c>
      <c r="H4" s="55">
        <v>2018</v>
      </c>
      <c r="I4" s="55">
        <v>2019</v>
      </c>
      <c r="J4" s="55">
        <v>2020</v>
      </c>
      <c r="K4" s="55">
        <v>2021</v>
      </c>
      <c r="L4" s="55">
        <v>2022</v>
      </c>
      <c r="M4" s="55">
        <v>2023</v>
      </c>
      <c r="N4" s="55">
        <v>2024</v>
      </c>
      <c r="O4" s="55">
        <v>2025</v>
      </c>
      <c r="P4" s="55">
        <v>2026</v>
      </c>
      <c r="Q4" s="55">
        <v>2027</v>
      </c>
      <c r="R4" s="55">
        <v>2028</v>
      </c>
      <c r="S4" s="55">
        <v>2029</v>
      </c>
      <c r="T4" s="56">
        <v>2030</v>
      </c>
    </row>
    <row r="5" spans="1:21" x14ac:dyDescent="0.25">
      <c r="A5" s="1" t="s">
        <v>23</v>
      </c>
      <c r="E5" s="48"/>
      <c r="F5" s="57">
        <v>3000</v>
      </c>
      <c r="G5" s="57">
        <v>3597.33</v>
      </c>
      <c r="H5" s="57">
        <v>0</v>
      </c>
      <c r="I5" s="57">
        <v>0</v>
      </c>
      <c r="J5" s="57">
        <v>0</v>
      </c>
      <c r="K5" s="57">
        <v>0</v>
      </c>
      <c r="L5" s="57">
        <v>0</v>
      </c>
      <c r="M5" s="57">
        <v>0</v>
      </c>
      <c r="N5" s="57">
        <v>0</v>
      </c>
      <c r="O5" s="57">
        <v>0</v>
      </c>
      <c r="P5" s="57">
        <v>0</v>
      </c>
      <c r="Q5" s="57">
        <v>0</v>
      </c>
      <c r="R5" s="57">
        <v>0</v>
      </c>
      <c r="S5" s="57">
        <v>0</v>
      </c>
      <c r="T5" s="58">
        <v>0</v>
      </c>
    </row>
    <row r="6" spans="1:21" x14ac:dyDescent="0.25">
      <c r="A6" s="1" t="s">
        <v>24</v>
      </c>
      <c r="E6" s="48"/>
      <c r="F6" s="57">
        <f>2784207.75-F5</f>
        <v>2781207.75</v>
      </c>
      <c r="G6" s="57">
        <v>942.24</v>
      </c>
      <c r="H6" s="57">
        <v>0</v>
      </c>
      <c r="I6" s="57">
        <v>0</v>
      </c>
      <c r="J6" s="57">
        <v>0</v>
      </c>
      <c r="K6" s="57">
        <v>0</v>
      </c>
      <c r="L6" s="57">
        <v>0</v>
      </c>
      <c r="M6" s="57">
        <v>0</v>
      </c>
      <c r="N6" s="57">
        <v>0</v>
      </c>
      <c r="O6" s="57">
        <v>0</v>
      </c>
      <c r="P6" s="57">
        <v>0</v>
      </c>
      <c r="Q6" s="57">
        <v>0</v>
      </c>
      <c r="R6" s="57">
        <v>0</v>
      </c>
      <c r="S6" s="57">
        <v>0</v>
      </c>
      <c r="T6" s="58">
        <v>0</v>
      </c>
    </row>
    <row r="7" spans="1:21" x14ac:dyDescent="0.25">
      <c r="A7" s="1" t="s">
        <v>25</v>
      </c>
      <c r="E7" s="49"/>
      <c r="F7" s="59">
        <f>F6+F5</f>
        <v>2784207.75</v>
      </c>
      <c r="G7" s="59">
        <v>4539.58</v>
      </c>
      <c r="H7" s="59">
        <v>0</v>
      </c>
      <c r="I7" s="59">
        <v>0</v>
      </c>
      <c r="J7" s="59">
        <v>0</v>
      </c>
      <c r="K7" s="59">
        <v>0</v>
      </c>
      <c r="L7" s="59">
        <v>0</v>
      </c>
      <c r="M7" s="59">
        <v>0</v>
      </c>
      <c r="N7" s="59">
        <v>0</v>
      </c>
      <c r="O7" s="59">
        <v>0</v>
      </c>
      <c r="P7" s="59">
        <v>0</v>
      </c>
      <c r="Q7" s="59">
        <v>0</v>
      </c>
      <c r="R7" s="59">
        <v>0</v>
      </c>
      <c r="S7" s="59">
        <v>0</v>
      </c>
      <c r="T7" s="60">
        <v>0</v>
      </c>
    </row>
    <row r="9" spans="1:21" x14ac:dyDescent="0.25">
      <c r="A9" s="1" t="s">
        <v>27</v>
      </c>
      <c r="C9" s="4">
        <f>NPV(0.0637,G9:T9)+F9</f>
        <v>188252555.6628128</v>
      </c>
      <c r="E9" s="61" t="s">
        <v>32</v>
      </c>
      <c r="F9" s="66">
        <f t="shared" ref="F9:T9" si="0">F2-F7</f>
        <v>0</v>
      </c>
      <c r="G9" s="66">
        <f t="shared" si="0"/>
        <v>3936825.19</v>
      </c>
      <c r="H9" s="66">
        <f t="shared" si="0"/>
        <v>5882444.3099999996</v>
      </c>
      <c r="I9" s="66">
        <f t="shared" si="0"/>
        <v>8491408.9800000004</v>
      </c>
      <c r="J9" s="66">
        <f t="shared" si="0"/>
        <v>13508407.34</v>
      </c>
      <c r="K9" s="66">
        <f t="shared" si="0"/>
        <v>16944559.32</v>
      </c>
      <c r="L9" s="66">
        <f t="shared" si="0"/>
        <v>17458854.210000001</v>
      </c>
      <c r="M9" s="66">
        <f t="shared" si="0"/>
        <v>22339013.989999998</v>
      </c>
      <c r="N9" s="66">
        <f t="shared" si="0"/>
        <v>28976674.899999999</v>
      </c>
      <c r="O9" s="66">
        <f t="shared" si="0"/>
        <v>35426939.979999997</v>
      </c>
      <c r="P9" s="66">
        <f t="shared" si="0"/>
        <v>35426939.979999997</v>
      </c>
      <c r="Q9" s="66">
        <f t="shared" si="0"/>
        <v>35426939.979999997</v>
      </c>
      <c r="R9" s="66">
        <f t="shared" si="0"/>
        <v>35426939.979999997</v>
      </c>
      <c r="S9" s="66">
        <f t="shared" si="0"/>
        <v>35426939.979999997</v>
      </c>
      <c r="T9" s="67">
        <f t="shared" si="0"/>
        <v>35426939.979999997</v>
      </c>
      <c r="U9" s="4"/>
    </row>
    <row r="10" spans="1:21" x14ac:dyDescent="0.25">
      <c r="A10" s="1" t="s">
        <v>29</v>
      </c>
      <c r="C10" s="4">
        <f>C9-E15</f>
        <v>175652274.81998789</v>
      </c>
      <c r="E10" s="49" t="s">
        <v>31</v>
      </c>
      <c r="F10" s="46">
        <f>F9/1000000</f>
        <v>0</v>
      </c>
      <c r="G10" s="46">
        <f t="shared" ref="G10:T10" si="1">G9/1000000</f>
        <v>3.93682519</v>
      </c>
      <c r="H10" s="46">
        <f t="shared" si="1"/>
        <v>5.8824443099999995</v>
      </c>
      <c r="I10" s="46">
        <f t="shared" si="1"/>
        <v>8.491408980000001</v>
      </c>
      <c r="J10" s="46">
        <f t="shared" si="1"/>
        <v>13.50840734</v>
      </c>
      <c r="K10" s="46">
        <f t="shared" si="1"/>
        <v>16.94455932</v>
      </c>
      <c r="L10" s="46">
        <f t="shared" si="1"/>
        <v>17.458854210000002</v>
      </c>
      <c r="M10" s="46">
        <f t="shared" si="1"/>
        <v>22.339013989999998</v>
      </c>
      <c r="N10" s="46">
        <f t="shared" si="1"/>
        <v>28.976674899999999</v>
      </c>
      <c r="O10" s="46">
        <f t="shared" si="1"/>
        <v>35.42693998</v>
      </c>
      <c r="P10" s="46">
        <f t="shared" si="1"/>
        <v>35.42693998</v>
      </c>
      <c r="Q10" s="46">
        <f t="shared" si="1"/>
        <v>35.42693998</v>
      </c>
      <c r="R10" s="46">
        <f t="shared" si="1"/>
        <v>35.42693998</v>
      </c>
      <c r="S10" s="46">
        <f t="shared" si="1"/>
        <v>35.42693998</v>
      </c>
      <c r="T10" s="68">
        <f t="shared" si="1"/>
        <v>35.42693998</v>
      </c>
    </row>
    <row r="11" spans="1:21" s="11" customFormat="1" x14ac:dyDescent="0.25">
      <c r="A11" s="1"/>
      <c r="B11" s="1"/>
      <c r="C11" s="16">
        <f>NPV(0.0637,G15)+F15</f>
        <v>0</v>
      </c>
      <c r="D11" s="130">
        <f>NPV(0.0637,0,H15:J15)+0</f>
        <v>6532413.9640599256</v>
      </c>
      <c r="E11" s="54" t="s">
        <v>30</v>
      </c>
      <c r="F11" s="69">
        <v>0</v>
      </c>
      <c r="G11" s="69">
        <f>-PMT(0.0637,50,$D$11)</f>
        <v>435999.89915360772</v>
      </c>
      <c r="H11" s="69">
        <f>-PMT(0.0637,50,$D$11)</f>
        <v>435999.89915360772</v>
      </c>
      <c r="I11" s="69">
        <f t="shared" ref="I11:T11" si="2">-PMT(0.0637,50,$D$11)</f>
        <v>435999.89915360772</v>
      </c>
      <c r="J11" s="69">
        <f t="shared" si="2"/>
        <v>435999.89915360772</v>
      </c>
      <c r="K11" s="69">
        <f t="shared" si="2"/>
        <v>435999.89915360772</v>
      </c>
      <c r="L11" s="69">
        <f t="shared" si="2"/>
        <v>435999.89915360772</v>
      </c>
      <c r="M11" s="69">
        <f t="shared" si="2"/>
        <v>435999.89915360772</v>
      </c>
      <c r="N11" s="69">
        <f t="shared" si="2"/>
        <v>435999.89915360772</v>
      </c>
      <c r="O11" s="69">
        <f t="shared" si="2"/>
        <v>435999.89915360772</v>
      </c>
      <c r="P11" s="69">
        <f t="shared" si="2"/>
        <v>435999.89915360772</v>
      </c>
      <c r="Q11" s="69">
        <f t="shared" si="2"/>
        <v>435999.89915360772</v>
      </c>
      <c r="R11" s="69">
        <f t="shared" si="2"/>
        <v>435999.89915360772</v>
      </c>
      <c r="S11" s="69">
        <f t="shared" si="2"/>
        <v>435999.89915360772</v>
      </c>
      <c r="T11" s="70">
        <f t="shared" si="2"/>
        <v>435999.89915360772</v>
      </c>
    </row>
    <row r="12" spans="1:21" s="11" customFormat="1" x14ac:dyDescent="0.25">
      <c r="A12" s="1"/>
      <c r="B12" s="1"/>
      <c r="C12" s="1"/>
      <c r="D12" s="1"/>
      <c r="E12" s="71" t="s">
        <v>31</v>
      </c>
      <c r="F12" s="64">
        <f>F11/1000000</f>
        <v>0</v>
      </c>
      <c r="G12" s="64">
        <f t="shared" ref="G12:T12" si="3">G11/1000000</f>
        <v>0.43599989915360771</v>
      </c>
      <c r="H12" s="64">
        <f t="shared" si="3"/>
        <v>0.43599989915360771</v>
      </c>
      <c r="I12" s="64">
        <f t="shared" si="3"/>
        <v>0.43599989915360771</v>
      </c>
      <c r="J12" s="64">
        <f t="shared" si="3"/>
        <v>0.43599989915360771</v>
      </c>
      <c r="K12" s="64">
        <f t="shared" si="3"/>
        <v>0.43599989915360771</v>
      </c>
      <c r="L12" s="64">
        <f t="shared" si="3"/>
        <v>0.43599989915360771</v>
      </c>
      <c r="M12" s="64">
        <f t="shared" si="3"/>
        <v>0.43599989915360771</v>
      </c>
      <c r="N12" s="64">
        <f t="shared" si="3"/>
        <v>0.43599989915360771</v>
      </c>
      <c r="O12" s="64">
        <f t="shared" si="3"/>
        <v>0.43599989915360771</v>
      </c>
      <c r="P12" s="64">
        <f t="shared" si="3"/>
        <v>0.43599989915360771</v>
      </c>
      <c r="Q12" s="64">
        <f t="shared" si="3"/>
        <v>0.43599989915360771</v>
      </c>
      <c r="R12" s="64">
        <f t="shared" si="3"/>
        <v>0.43599989915360771</v>
      </c>
      <c r="S12" s="64">
        <f t="shared" si="3"/>
        <v>0.43599989915360771</v>
      </c>
      <c r="T12" s="65">
        <f t="shared" si="3"/>
        <v>0.43599989915360771</v>
      </c>
    </row>
    <row r="13" spans="1:21" s="11" customFormat="1" ht="15.75" thickBot="1" x14ac:dyDescent="0.3">
      <c r="A13"/>
      <c r="B13" s="143" t="s">
        <v>19</v>
      </c>
      <c r="C13" s="143"/>
      <c r="D13" s="143" t="s">
        <v>19</v>
      </c>
      <c r="E13" s="143"/>
    </row>
    <row r="14" spans="1:21" s="11" customFormat="1" x14ac:dyDescent="0.25">
      <c r="A14"/>
      <c r="B14" t="s">
        <v>5</v>
      </c>
      <c r="C14" t="s">
        <v>6</v>
      </c>
      <c r="D14" t="s">
        <v>5</v>
      </c>
      <c r="E14" t="s">
        <v>6</v>
      </c>
      <c r="F14" s="18">
        <v>2016</v>
      </c>
      <c r="G14" s="19">
        <v>2017</v>
      </c>
      <c r="H14" s="19">
        <v>2018</v>
      </c>
      <c r="I14" s="19">
        <v>2019</v>
      </c>
      <c r="J14" s="19">
        <v>2020</v>
      </c>
      <c r="K14" s="19">
        <v>2021</v>
      </c>
      <c r="L14" s="19">
        <v>2022</v>
      </c>
      <c r="M14" s="19">
        <v>2023</v>
      </c>
      <c r="N14" s="19">
        <v>2024</v>
      </c>
      <c r="O14" s="19">
        <v>2025</v>
      </c>
      <c r="P14" s="19">
        <v>2026</v>
      </c>
      <c r="Q14" s="19">
        <v>2027</v>
      </c>
      <c r="R14" s="19">
        <v>2028</v>
      </c>
      <c r="S14" s="19">
        <v>2029</v>
      </c>
      <c r="T14" s="20">
        <v>2030</v>
      </c>
    </row>
    <row r="15" spans="1:21" s="12" customFormat="1" x14ac:dyDescent="0.25">
      <c r="A15" s="10" t="s">
        <v>8</v>
      </c>
      <c r="B15" s="13">
        <f t="shared" ref="B15:C17" si="4">D15/1000000</f>
        <v>6.5324139640599252</v>
      </c>
      <c r="C15" s="13">
        <f t="shared" si="4"/>
        <v>12.600280842824919</v>
      </c>
      <c r="D15" s="9">
        <f>D16+D17</f>
        <v>6532413.9640599256</v>
      </c>
      <c r="E15" s="9">
        <f>E16+E17</f>
        <v>12600280.842824919</v>
      </c>
      <c r="F15" s="23">
        <f t="shared" ref="F15:T15" si="5">F16+F17</f>
        <v>0</v>
      </c>
      <c r="G15" s="24">
        <f t="shared" si="5"/>
        <v>0</v>
      </c>
      <c r="H15" s="24">
        <f t="shared" si="5"/>
        <v>7187159.4161249986</v>
      </c>
      <c r="I15" s="24">
        <f t="shared" si="5"/>
        <v>110502.57602292183</v>
      </c>
      <c r="J15" s="24">
        <f t="shared" si="5"/>
        <v>113265.14042349487</v>
      </c>
      <c r="K15" s="24">
        <f t="shared" si="5"/>
        <v>116096.76893408224</v>
      </c>
      <c r="L15" s="24">
        <f t="shared" si="5"/>
        <v>118999.18815743428</v>
      </c>
      <c r="M15" s="24">
        <f t="shared" si="5"/>
        <v>121974.16786137014</v>
      </c>
      <c r="N15" s="24">
        <f t="shared" si="5"/>
        <v>125023.52205790438</v>
      </c>
      <c r="O15" s="24">
        <f t="shared" si="5"/>
        <v>128149.11010935198</v>
      </c>
      <c r="P15" s="24">
        <f t="shared" si="5"/>
        <v>131352.83786208578</v>
      </c>
      <c r="Q15" s="24">
        <f t="shared" si="5"/>
        <v>134636.65880863791</v>
      </c>
      <c r="R15" s="24">
        <f t="shared" si="5"/>
        <v>138002.57527885385</v>
      </c>
      <c r="S15" s="24">
        <f t="shared" si="5"/>
        <v>141452.6396608252</v>
      </c>
      <c r="T15" s="25">
        <f t="shared" si="5"/>
        <v>12826943.875362802</v>
      </c>
    </row>
    <row r="16" spans="1:21" s="11" customFormat="1" x14ac:dyDescent="0.25">
      <c r="A16" s="1" t="s">
        <v>2</v>
      </c>
      <c r="B16" s="6">
        <f t="shared" si="4"/>
        <v>6.3521238837706759</v>
      </c>
      <c r="C16" s="15">
        <f t="shared" si="4"/>
        <v>11.694297224118353</v>
      </c>
      <c r="D16" s="7">
        <f>NPV($B$3,G16:J16)+F16</f>
        <v>6352123.8837706763</v>
      </c>
      <c r="E16" s="3">
        <f>NPV($B$3,G16:T16)+F16</f>
        <v>11694297.224118354</v>
      </c>
      <c r="F16" s="26">
        <f>'Option Costs'!F12</f>
        <v>0</v>
      </c>
      <c r="G16" s="26">
        <f>'Option Costs'!G12</f>
        <v>0</v>
      </c>
      <c r="H16" s="26">
        <f>'Option Costs'!H12</f>
        <v>7187159.4161249986</v>
      </c>
      <c r="I16" s="26">
        <f>'Option Costs'!I12</f>
        <v>0</v>
      </c>
      <c r="J16" s="26">
        <f>'Option Costs'!J12</f>
        <v>0</v>
      </c>
      <c r="K16" s="26">
        <f>'Option Costs'!K12</f>
        <v>0</v>
      </c>
      <c r="L16" s="26">
        <f>'Option Costs'!L12</f>
        <v>0</v>
      </c>
      <c r="M16" s="26">
        <f>'Option Costs'!M12</f>
        <v>0</v>
      </c>
      <c r="N16" s="26">
        <f>'Option Costs'!N12</f>
        <v>0</v>
      </c>
      <c r="O16" s="26">
        <f>'Option Costs'!O12</f>
        <v>0</v>
      </c>
      <c r="P16" s="26">
        <f>'Option Costs'!P12</f>
        <v>0</v>
      </c>
      <c r="Q16" s="26">
        <f>'Option Costs'!Q12</f>
        <v>0</v>
      </c>
      <c r="R16" s="26">
        <f>'Option Costs'!R12</f>
        <v>0</v>
      </c>
      <c r="S16" s="26">
        <f>'Option Costs'!S12</f>
        <v>0</v>
      </c>
      <c r="T16" s="26">
        <f>'Option Costs'!T12</f>
        <v>12681954.919710457</v>
      </c>
    </row>
    <row r="17" spans="1:20" s="11" customFormat="1" x14ac:dyDescent="0.25">
      <c r="A17" s="1" t="s">
        <v>3</v>
      </c>
      <c r="B17" s="14">
        <f t="shared" si="4"/>
        <v>0.1802900802892497</v>
      </c>
      <c r="C17" s="15">
        <f t="shared" si="4"/>
        <v>0.90598361870656552</v>
      </c>
      <c r="D17" s="7">
        <f>NPV($B$3,G17:J17)+F17</f>
        <v>180290.08028924969</v>
      </c>
      <c r="E17" s="3">
        <f>NPV($B$3,G17:T17)+F17</f>
        <v>905983.61870656547</v>
      </c>
      <c r="F17" s="26">
        <f>'Option Costs'!F13</f>
        <v>0</v>
      </c>
      <c r="G17" s="26">
        <f>'Option Costs'!G13</f>
        <v>0</v>
      </c>
      <c r="H17" s="26">
        <f>'Option Costs'!H13</f>
        <v>0</v>
      </c>
      <c r="I17" s="26">
        <f>'Option Costs'!I13</f>
        <v>110502.57602292183</v>
      </c>
      <c r="J17" s="26">
        <f>'Option Costs'!J13</f>
        <v>113265.14042349487</v>
      </c>
      <c r="K17" s="26">
        <f>'Option Costs'!K13</f>
        <v>116096.76893408224</v>
      </c>
      <c r="L17" s="26">
        <f>'Option Costs'!L13</f>
        <v>118999.18815743428</v>
      </c>
      <c r="M17" s="26">
        <f>'Option Costs'!M13</f>
        <v>121974.16786137014</v>
      </c>
      <c r="N17" s="26">
        <f>'Option Costs'!N13</f>
        <v>125023.52205790438</v>
      </c>
      <c r="O17" s="26">
        <f>'Option Costs'!O13</f>
        <v>128149.11010935198</v>
      </c>
      <c r="P17" s="26">
        <f>'Option Costs'!P13</f>
        <v>131352.83786208578</v>
      </c>
      <c r="Q17" s="26">
        <f>'Option Costs'!Q13</f>
        <v>134636.65880863791</v>
      </c>
      <c r="R17" s="26">
        <f>'Option Costs'!R13</f>
        <v>138002.57527885385</v>
      </c>
      <c r="S17" s="26">
        <f>'Option Costs'!S13</f>
        <v>141452.6396608252</v>
      </c>
      <c r="T17" s="26">
        <f>'Option Costs'!T13</f>
        <v>144988.95565234582</v>
      </c>
    </row>
    <row r="18" spans="1:20" s="11" customFormat="1" x14ac:dyDescent="0.25">
      <c r="A18"/>
      <c r="B18"/>
      <c r="C18"/>
      <c r="D18"/>
      <c r="E18"/>
      <c r="F18" s="27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9"/>
    </row>
    <row r="19" spans="1:20" s="11" customFormat="1" x14ac:dyDescent="0.25">
      <c r="A19" t="s">
        <v>21</v>
      </c>
      <c r="B19" s="14">
        <f t="shared" ref="B19:C20" si="6">D19/1000000</f>
        <v>6.3521238837706759</v>
      </c>
      <c r="C19" s="15">
        <f t="shared" si="6"/>
        <v>11.694297224118353</v>
      </c>
      <c r="D19" s="7">
        <f>NPV($B$3,G19:J19)+F19</f>
        <v>6352123.8837706763</v>
      </c>
      <c r="E19" s="3">
        <f>NPV($B$3,G19:T19)+F19</f>
        <v>11694297.224118354</v>
      </c>
      <c r="F19" s="21">
        <v>0</v>
      </c>
      <c r="G19" s="22">
        <v>0</v>
      </c>
      <c r="H19" s="28">
        <f>H16</f>
        <v>7187159.4161249986</v>
      </c>
      <c r="I19" s="28">
        <f t="shared" ref="I19:T19" si="7">I16</f>
        <v>0</v>
      </c>
      <c r="J19" s="28">
        <f t="shared" si="7"/>
        <v>0</v>
      </c>
      <c r="K19" s="28">
        <f t="shared" si="7"/>
        <v>0</v>
      </c>
      <c r="L19" s="28">
        <f t="shared" si="7"/>
        <v>0</v>
      </c>
      <c r="M19" s="28">
        <f t="shared" si="7"/>
        <v>0</v>
      </c>
      <c r="N19" s="28">
        <f t="shared" si="7"/>
        <v>0</v>
      </c>
      <c r="O19" s="28">
        <f t="shared" si="7"/>
        <v>0</v>
      </c>
      <c r="P19" s="28">
        <f t="shared" si="7"/>
        <v>0</v>
      </c>
      <c r="Q19" s="28">
        <f t="shared" si="7"/>
        <v>0</v>
      </c>
      <c r="R19" s="28">
        <f t="shared" si="7"/>
        <v>0</v>
      </c>
      <c r="S19" s="28">
        <f t="shared" si="7"/>
        <v>0</v>
      </c>
      <c r="T19" s="29">
        <f t="shared" si="7"/>
        <v>12681954.919710457</v>
      </c>
    </row>
    <row r="20" spans="1:20" s="11" customFormat="1" ht="15.75" thickBot="1" x14ac:dyDescent="0.3">
      <c r="A20" t="s">
        <v>22</v>
      </c>
      <c r="B20" s="14">
        <f t="shared" si="6"/>
        <v>0.1802900802892497</v>
      </c>
      <c r="C20" s="15">
        <f t="shared" si="6"/>
        <v>0.90598361870656552</v>
      </c>
      <c r="D20" s="7">
        <f>NPV($B$3,G20:J20)+F20</f>
        <v>180290.08028924969</v>
      </c>
      <c r="E20" s="3">
        <f>NPV($B$3,G20:T20)+F20</f>
        <v>905983.61870656547</v>
      </c>
      <c r="F20" s="30">
        <v>0</v>
      </c>
      <c r="G20" s="31">
        <v>0</v>
      </c>
      <c r="H20" s="32">
        <f>H17</f>
        <v>0</v>
      </c>
      <c r="I20" s="32">
        <f t="shared" ref="I20:T20" si="8">I17</f>
        <v>110502.57602292183</v>
      </c>
      <c r="J20" s="32">
        <f t="shared" si="8"/>
        <v>113265.14042349487</v>
      </c>
      <c r="K20" s="32">
        <f t="shared" si="8"/>
        <v>116096.76893408224</v>
      </c>
      <c r="L20" s="32">
        <f t="shared" si="8"/>
        <v>118999.18815743428</v>
      </c>
      <c r="M20" s="32">
        <f t="shared" si="8"/>
        <v>121974.16786137014</v>
      </c>
      <c r="N20" s="32">
        <f t="shared" si="8"/>
        <v>125023.52205790438</v>
      </c>
      <c r="O20" s="32">
        <f t="shared" si="8"/>
        <v>128149.11010935198</v>
      </c>
      <c r="P20" s="32">
        <f t="shared" si="8"/>
        <v>131352.83786208578</v>
      </c>
      <c r="Q20" s="32">
        <f t="shared" si="8"/>
        <v>134636.65880863791</v>
      </c>
      <c r="R20" s="32">
        <f t="shared" si="8"/>
        <v>138002.57527885385</v>
      </c>
      <c r="S20" s="32">
        <f t="shared" si="8"/>
        <v>141452.6396608252</v>
      </c>
      <c r="T20" s="33">
        <f t="shared" si="8"/>
        <v>144988.95565234582</v>
      </c>
    </row>
  </sheetData>
  <mergeCells count="2">
    <mergeCell ref="B13:C13"/>
    <mergeCell ref="D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zoomScale="85" zoomScaleNormal="85" workbookViewId="0">
      <pane xSplit="1" ySplit="6" topLeftCell="B10" activePane="bottomRight" state="frozen"/>
      <selection pane="topRight" activeCell="B1" sqref="B1"/>
      <selection pane="bottomLeft" activeCell="A6" sqref="A6"/>
      <selection pane="bottomRight" activeCell="L25" sqref="L25"/>
    </sheetView>
  </sheetViews>
  <sheetFormatPr defaultRowHeight="15" x14ac:dyDescent="0.25"/>
  <cols>
    <col min="1" max="1" width="44.140625" bestFit="1" customWidth="1"/>
    <col min="2" max="2" width="21.7109375" style="74" customWidth="1"/>
    <col min="3" max="3" width="13.5703125" style="74" customWidth="1"/>
    <col min="4" max="4" width="20.28515625" style="74" bestFit="1" customWidth="1"/>
    <col min="5" max="5" width="18.85546875" style="74" bestFit="1" customWidth="1"/>
    <col min="6" max="7" width="17.42578125" style="74" bestFit="1" customWidth="1"/>
    <col min="8" max="8" width="18.5703125" style="74" bestFit="1" customWidth="1"/>
    <col min="9" max="9" width="17.140625" style="74" bestFit="1" customWidth="1"/>
    <col min="10" max="10" width="14.5703125" style="74" bestFit="1" customWidth="1"/>
    <col min="11" max="11" width="17.42578125" style="74" bestFit="1" customWidth="1"/>
    <col min="12" max="12" width="15" style="74" bestFit="1" customWidth="1"/>
    <col min="13" max="13" width="16.7109375" style="74" bestFit="1" customWidth="1"/>
    <col min="14" max="14" width="17.140625" style="74" bestFit="1" customWidth="1"/>
    <col min="15" max="16" width="16.7109375" style="74" bestFit="1" customWidth="1"/>
    <col min="17" max="17" width="16" style="74" bestFit="1" customWidth="1"/>
    <col min="18" max="18" width="16.7109375" style="74" bestFit="1" customWidth="1"/>
    <col min="19" max="19" width="17.140625" style="74" bestFit="1" customWidth="1"/>
    <col min="20" max="20" width="18.85546875" style="74" bestFit="1" customWidth="1"/>
    <col min="21" max="21" width="9.140625" style="11"/>
    <col min="22" max="23" width="9.85546875" style="11" bestFit="1" customWidth="1"/>
    <col min="24" max="33" width="10.7109375" style="11" bestFit="1" customWidth="1"/>
    <col min="34" max="16384" width="9.140625" style="11"/>
  </cols>
  <sheetData>
    <row r="1" spans="1:20" x14ac:dyDescent="0.25">
      <c r="A1" s="1" t="s">
        <v>20</v>
      </c>
      <c r="B1" s="72"/>
      <c r="C1" s="72"/>
      <c r="D1" s="72"/>
      <c r="E1" s="72"/>
      <c r="F1" s="72">
        <v>2016</v>
      </c>
      <c r="G1" s="72">
        <v>2017</v>
      </c>
      <c r="H1" s="72">
        <v>2018</v>
      </c>
      <c r="I1" s="72">
        <v>2019</v>
      </c>
      <c r="J1" s="72">
        <v>2020</v>
      </c>
      <c r="K1" s="72">
        <v>2021</v>
      </c>
      <c r="L1" s="72">
        <v>2022</v>
      </c>
      <c r="M1" s="72">
        <v>2023</v>
      </c>
      <c r="N1" s="72">
        <v>2024</v>
      </c>
      <c r="O1" s="72">
        <v>2025</v>
      </c>
      <c r="P1" s="72">
        <v>2026</v>
      </c>
      <c r="Q1" s="72">
        <v>2027</v>
      </c>
      <c r="R1" s="72">
        <v>2028</v>
      </c>
      <c r="S1" s="72">
        <v>2029</v>
      </c>
      <c r="T1" s="72">
        <v>2030</v>
      </c>
    </row>
    <row r="2" spans="1:20" x14ac:dyDescent="0.25">
      <c r="A2" s="11" t="s">
        <v>4</v>
      </c>
      <c r="B2" s="41"/>
      <c r="C2" s="41"/>
      <c r="D2" s="73">
        <v>6.3700000000000007E-2</v>
      </c>
    </row>
    <row r="3" spans="1:20" x14ac:dyDescent="0.25">
      <c r="A3" s="11" t="s">
        <v>51</v>
      </c>
      <c r="B3" s="41"/>
      <c r="C3" s="41"/>
      <c r="D3" s="73">
        <v>2.5000000000000001E-2</v>
      </c>
    </row>
    <row r="4" spans="1:20" x14ac:dyDescent="0.25">
      <c r="A4" s="11" t="s">
        <v>98</v>
      </c>
      <c r="B4" s="41"/>
      <c r="C4" s="41"/>
      <c r="D4" s="73">
        <v>1.4999999999999999E-2</v>
      </c>
    </row>
    <row r="5" spans="1:20" x14ac:dyDescent="0.25">
      <c r="B5" s="144" t="s">
        <v>19</v>
      </c>
      <c r="C5" s="144"/>
      <c r="D5" s="144" t="s">
        <v>7</v>
      </c>
      <c r="E5" s="144"/>
    </row>
    <row r="6" spans="1:20" x14ac:dyDescent="0.25">
      <c r="B6" s="74" t="s">
        <v>5</v>
      </c>
      <c r="C6" s="74" t="s">
        <v>6</v>
      </c>
      <c r="D6" s="74" t="s">
        <v>5</v>
      </c>
      <c r="E6" s="74" t="s">
        <v>6</v>
      </c>
    </row>
    <row r="7" spans="1:20" s="12" customFormat="1" x14ac:dyDescent="0.25">
      <c r="A7" s="8" t="s">
        <v>8</v>
      </c>
      <c r="B7" s="75">
        <f t="shared" ref="B7:C9" si="0">D7/1000000</f>
        <v>10.22821214596096</v>
      </c>
      <c r="C7" s="75">
        <f t="shared" si="0"/>
        <v>16.70664958480619</v>
      </c>
      <c r="D7" s="76">
        <f>D8+D9</f>
        <v>10228212.145960961</v>
      </c>
      <c r="E7" s="76">
        <f>E8+E9</f>
        <v>16706649.584806191</v>
      </c>
      <c r="F7" s="76">
        <f t="shared" ref="F7:T7" si="1">F8+F9</f>
        <v>0</v>
      </c>
      <c r="G7" s="76">
        <f t="shared" si="1"/>
        <v>0</v>
      </c>
      <c r="H7" s="76">
        <f t="shared" si="1"/>
        <v>11253388.355271883</v>
      </c>
      <c r="I7" s="76">
        <f t="shared" si="1"/>
        <v>173020.84596230517</v>
      </c>
      <c r="J7" s="76">
        <f t="shared" si="1"/>
        <v>177346.36711136278</v>
      </c>
      <c r="K7" s="76">
        <f t="shared" si="1"/>
        <v>181780.02628914683</v>
      </c>
      <c r="L7" s="76">
        <f t="shared" si="1"/>
        <v>186324.5269463755</v>
      </c>
      <c r="M7" s="76">
        <f t="shared" si="1"/>
        <v>190982.64012003486</v>
      </c>
      <c r="N7" s="76">
        <f t="shared" si="1"/>
        <v>195757.20612303572</v>
      </c>
      <c r="O7" s="76">
        <f t="shared" si="1"/>
        <v>200651.13627611159</v>
      </c>
      <c r="P7" s="76">
        <f t="shared" si="1"/>
        <v>205667.41468301436</v>
      </c>
      <c r="Q7" s="76">
        <f t="shared" si="1"/>
        <v>210809.10005008971</v>
      </c>
      <c r="R7" s="76">
        <f t="shared" si="1"/>
        <v>216079.32755134194</v>
      </c>
      <c r="S7" s="76">
        <f t="shared" si="1"/>
        <v>221481.31074012545</v>
      </c>
      <c r="T7" s="76">
        <f t="shared" si="1"/>
        <v>12908973.263219086</v>
      </c>
    </row>
    <row r="8" spans="1:20" x14ac:dyDescent="0.25">
      <c r="A8" s="1" t="s">
        <v>2</v>
      </c>
      <c r="B8" s="77">
        <f t="shared" si="0"/>
        <v>9.9459206073113346</v>
      </c>
      <c r="C8" s="78">
        <f t="shared" si="0"/>
        <v>15.288093947659013</v>
      </c>
      <c r="D8" s="79">
        <f>NPV($D$2,G8:J8)+F8</f>
        <v>9945920.6073113345</v>
      </c>
      <c r="E8" s="80">
        <f>NPV($D$2,G8:T8)+F8</f>
        <v>15288093.947659012</v>
      </c>
      <c r="F8" s="81">
        <v>0</v>
      </c>
      <c r="G8" s="81">
        <v>0</v>
      </c>
      <c r="H8" s="93">
        <f>H64</f>
        <v>11253388.355271883</v>
      </c>
      <c r="I8" s="81">
        <v>0</v>
      </c>
      <c r="J8" s="81">
        <v>0</v>
      </c>
      <c r="K8" s="81">
        <v>0</v>
      </c>
      <c r="L8" s="81">
        <v>0</v>
      </c>
      <c r="M8" s="81">
        <v>0</v>
      </c>
      <c r="N8" s="81">
        <v>0</v>
      </c>
      <c r="O8" s="81">
        <v>0</v>
      </c>
      <c r="P8" s="81">
        <v>0</v>
      </c>
      <c r="Q8" s="81">
        <v>0</v>
      </c>
      <c r="R8" s="81">
        <v>0</v>
      </c>
      <c r="S8" s="81">
        <v>0</v>
      </c>
      <c r="T8" s="93">
        <f>T70</f>
        <v>12681954.919710457</v>
      </c>
    </row>
    <row r="9" spans="1:20" x14ac:dyDescent="0.25">
      <c r="A9" s="1" t="s">
        <v>3</v>
      </c>
      <c r="B9" s="82">
        <f t="shared" si="0"/>
        <v>0.28229153864962631</v>
      </c>
      <c r="C9" s="78">
        <f t="shared" si="0"/>
        <v>1.4185556371471792</v>
      </c>
      <c r="D9" s="79">
        <f>NPV($D$2,G9:J9)+F9</f>
        <v>282291.53864962631</v>
      </c>
      <c r="E9" s="80">
        <f>NPV($D$2,G9:T9)+F9</f>
        <v>1418555.6371471793</v>
      </c>
      <c r="F9" s="81">
        <v>0</v>
      </c>
      <c r="G9" s="81">
        <v>0</v>
      </c>
      <c r="H9" s="81">
        <v>0</v>
      </c>
      <c r="I9" s="81">
        <f>(H9*(1+$D$3))+(H8*$D$4*(1+$D$3))</f>
        <v>173020.84596230517</v>
      </c>
      <c r="J9" s="81">
        <f t="shared" ref="J9:T9" si="2">(I9*(1+$D$3))+(I8*$D$4*(1+$D$3))</f>
        <v>177346.36711136278</v>
      </c>
      <c r="K9" s="81">
        <f t="shared" si="2"/>
        <v>181780.02628914683</v>
      </c>
      <c r="L9" s="81">
        <f t="shared" si="2"/>
        <v>186324.5269463755</v>
      </c>
      <c r="M9" s="81">
        <f t="shared" si="2"/>
        <v>190982.64012003486</v>
      </c>
      <c r="N9" s="81">
        <f t="shared" si="2"/>
        <v>195757.20612303572</v>
      </c>
      <c r="O9" s="81">
        <f t="shared" si="2"/>
        <v>200651.13627611159</v>
      </c>
      <c r="P9" s="81">
        <f t="shared" si="2"/>
        <v>205667.41468301436</v>
      </c>
      <c r="Q9" s="81">
        <f t="shared" si="2"/>
        <v>210809.10005008971</v>
      </c>
      <c r="R9" s="81">
        <f t="shared" si="2"/>
        <v>216079.32755134194</v>
      </c>
      <c r="S9" s="81">
        <f t="shared" si="2"/>
        <v>221481.31074012545</v>
      </c>
      <c r="T9" s="81">
        <f t="shared" si="2"/>
        <v>227018.34350862858</v>
      </c>
    </row>
    <row r="10" spans="1:20" x14ac:dyDescent="0.25"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</row>
    <row r="11" spans="1:20" s="12" customFormat="1" x14ac:dyDescent="0.25">
      <c r="A11" s="10" t="s">
        <v>9</v>
      </c>
      <c r="B11" s="75">
        <f t="shared" ref="B11:C13" si="3">D11/1000000</f>
        <v>6.5324139640599252</v>
      </c>
      <c r="C11" s="75">
        <f t="shared" si="3"/>
        <v>12.600280842824919</v>
      </c>
      <c r="D11" s="76">
        <f>D12+D13</f>
        <v>6532413.9640599256</v>
      </c>
      <c r="E11" s="76">
        <f>E12+E13</f>
        <v>12600280.842824919</v>
      </c>
      <c r="F11" s="76">
        <f t="shared" ref="F11" si="4">F12+F13</f>
        <v>0</v>
      </c>
      <c r="G11" s="76">
        <f t="shared" ref="G11" si="5">G12+G13</f>
        <v>0</v>
      </c>
      <c r="H11" s="76">
        <f t="shared" ref="H11" si="6">H12+H13</f>
        <v>7187159.4161249986</v>
      </c>
      <c r="I11" s="76">
        <f t="shared" ref="I11" si="7">I12+I13</f>
        <v>110502.57602292183</v>
      </c>
      <c r="J11" s="76">
        <f t="shared" ref="J11" si="8">J12+J13</f>
        <v>113265.14042349487</v>
      </c>
      <c r="K11" s="76">
        <f t="shared" ref="K11" si="9">K12+K13</f>
        <v>116096.76893408224</v>
      </c>
      <c r="L11" s="76">
        <f t="shared" ref="L11" si="10">L12+L13</f>
        <v>118999.18815743428</v>
      </c>
      <c r="M11" s="76">
        <f t="shared" ref="M11" si="11">M12+M13</f>
        <v>121974.16786137014</v>
      </c>
      <c r="N11" s="76">
        <f t="shared" ref="N11" si="12">N12+N13</f>
        <v>125023.52205790438</v>
      </c>
      <c r="O11" s="76">
        <f t="shared" ref="O11" si="13">O12+O13</f>
        <v>128149.11010935198</v>
      </c>
      <c r="P11" s="76">
        <f t="shared" ref="P11" si="14">P12+P13</f>
        <v>131352.83786208578</v>
      </c>
      <c r="Q11" s="76">
        <f t="shared" ref="Q11" si="15">Q12+Q13</f>
        <v>134636.65880863791</v>
      </c>
      <c r="R11" s="76">
        <f t="shared" ref="R11" si="16">R12+R13</f>
        <v>138002.57527885385</v>
      </c>
      <c r="S11" s="76">
        <f t="shared" ref="S11" si="17">S12+S13</f>
        <v>141452.6396608252</v>
      </c>
      <c r="T11" s="76">
        <f t="shared" ref="T11" si="18">T12+T13</f>
        <v>12826943.875362802</v>
      </c>
    </row>
    <row r="12" spans="1:20" x14ac:dyDescent="0.25">
      <c r="A12" s="1" t="s">
        <v>2</v>
      </c>
      <c r="B12" s="77">
        <f t="shared" si="3"/>
        <v>6.3521238837706759</v>
      </c>
      <c r="C12" s="78">
        <f t="shared" si="3"/>
        <v>11.694297224118353</v>
      </c>
      <c r="D12" s="79">
        <f>NPV($D$2,G12:J12)+F12</f>
        <v>6352123.8837706763</v>
      </c>
      <c r="E12" s="80">
        <f>NPV($D$2,G12:T12)+F12</f>
        <v>11694297.224118354</v>
      </c>
      <c r="F12" s="81">
        <v>0</v>
      </c>
      <c r="G12" s="81">
        <v>0</v>
      </c>
      <c r="H12" s="93">
        <f>H60</f>
        <v>7187159.4161249986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93">
        <f>T70</f>
        <v>12681954.919710457</v>
      </c>
    </row>
    <row r="13" spans="1:20" x14ac:dyDescent="0.25">
      <c r="A13" s="1" t="s">
        <v>3</v>
      </c>
      <c r="B13" s="82">
        <f t="shared" si="3"/>
        <v>0.1802900802892497</v>
      </c>
      <c r="C13" s="78">
        <f t="shared" si="3"/>
        <v>0.90598361870656552</v>
      </c>
      <c r="D13" s="79">
        <f>NPV($D$2,G13:J13)+F13</f>
        <v>180290.08028924969</v>
      </c>
      <c r="E13" s="80">
        <f>NPV($D$2,G13:T13)+F13</f>
        <v>905983.61870656547</v>
      </c>
      <c r="F13" s="81">
        <v>0</v>
      </c>
      <c r="G13" s="81">
        <v>0</v>
      </c>
      <c r="H13" s="81">
        <v>0</v>
      </c>
      <c r="I13" s="81">
        <f>(H13*(1+$D$3))+(H12*$D$4*(1+$D$3))</f>
        <v>110502.57602292183</v>
      </c>
      <c r="J13" s="81">
        <f t="shared" ref="J13:T13" si="19">(I13*(1+$D$3))+(I12*$D$4*(1+$D$3))</f>
        <v>113265.14042349487</v>
      </c>
      <c r="K13" s="81">
        <f t="shared" si="19"/>
        <v>116096.76893408224</v>
      </c>
      <c r="L13" s="81">
        <f t="shared" si="19"/>
        <v>118999.18815743428</v>
      </c>
      <c r="M13" s="81">
        <f t="shared" si="19"/>
        <v>121974.16786137014</v>
      </c>
      <c r="N13" s="81">
        <f t="shared" si="19"/>
        <v>125023.52205790438</v>
      </c>
      <c r="O13" s="81">
        <f t="shared" si="19"/>
        <v>128149.11010935198</v>
      </c>
      <c r="P13" s="81">
        <f t="shared" si="19"/>
        <v>131352.83786208578</v>
      </c>
      <c r="Q13" s="81">
        <f t="shared" si="19"/>
        <v>134636.65880863791</v>
      </c>
      <c r="R13" s="81">
        <f t="shared" si="19"/>
        <v>138002.57527885385</v>
      </c>
      <c r="S13" s="81">
        <f t="shared" si="19"/>
        <v>141452.6396608252</v>
      </c>
      <c r="T13" s="81">
        <f t="shared" si="19"/>
        <v>144988.95565234582</v>
      </c>
    </row>
    <row r="14" spans="1:20" x14ac:dyDescent="0.25"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</row>
    <row r="15" spans="1:20" s="12" customFormat="1" x14ac:dyDescent="0.25">
      <c r="A15" s="10" t="s">
        <v>10</v>
      </c>
      <c r="B15" s="75">
        <f t="shared" ref="B15:C17" si="20">D15/1000000</f>
        <v>8.5959286329453892</v>
      </c>
      <c r="C15" s="75">
        <f t="shared" si="20"/>
        <v>16.947354744148658</v>
      </c>
      <c r="D15" s="76">
        <f>D16+D17</f>
        <v>8595928.6329453886</v>
      </c>
      <c r="E15" s="76">
        <f>E16+E17</f>
        <v>16947354.744148657</v>
      </c>
      <c r="F15" s="76">
        <f t="shared" ref="F15" si="21">F16+F17</f>
        <v>0</v>
      </c>
      <c r="G15" s="76">
        <f t="shared" ref="G15" si="22">G16+G17</f>
        <v>0</v>
      </c>
      <c r="H15" s="76">
        <f t="shared" ref="H15" si="23">H16+H17</f>
        <v>9457500.6658358183</v>
      </c>
      <c r="I15" s="76">
        <f t="shared" ref="I15" si="24">I16+I17</f>
        <v>145409.07273722568</v>
      </c>
      <c r="J15" s="76">
        <f t="shared" ref="J15" si="25">J16+J17</f>
        <v>149044.2995556563</v>
      </c>
      <c r="K15" s="76">
        <f t="shared" ref="K15" si="26">K16+K17</f>
        <v>2666937.4082431379</v>
      </c>
      <c r="L15" s="76">
        <f t="shared" ref="L15" si="27">L16+L17</f>
        <v>195244.9848640897</v>
      </c>
      <c r="M15" s="76">
        <f t="shared" ref="M15" si="28">M16+M17</f>
        <v>200126.10948569191</v>
      </c>
      <c r="N15" s="76">
        <f t="shared" ref="N15" si="29">N16+N17</f>
        <v>205129.26222283419</v>
      </c>
      <c r="O15" s="76">
        <f t="shared" ref="O15" si="30">O16+O17</f>
        <v>210257.49377840504</v>
      </c>
      <c r="P15" s="76">
        <f t="shared" ref="P15" si="31">P16+P17</f>
        <v>215513.93112286515</v>
      </c>
      <c r="Q15" s="76">
        <f t="shared" ref="Q15" si="32">Q16+Q17</f>
        <v>220901.77940093676</v>
      </c>
      <c r="R15" s="76">
        <f t="shared" ref="R15" si="33">R16+R17</f>
        <v>226424.32388596016</v>
      </c>
      <c r="S15" s="76">
        <f t="shared" ref="S15" si="34">S16+S17</f>
        <v>232084.93198310913</v>
      </c>
      <c r="T15" s="76">
        <f t="shared" ref="T15" si="35">T16+T17</f>
        <v>12919841.974993143</v>
      </c>
    </row>
    <row r="16" spans="1:20" x14ac:dyDescent="0.25">
      <c r="A16" s="1" t="s">
        <v>2</v>
      </c>
      <c r="B16" s="77">
        <f t="shared" si="20"/>
        <v>8.358686983545816</v>
      </c>
      <c r="C16" s="78">
        <f t="shared" si="20"/>
        <v>15.547143557063444</v>
      </c>
      <c r="D16" s="79">
        <f>NPV($D$2,G16:J16)+F16</f>
        <v>8358686.9835458156</v>
      </c>
      <c r="E16" s="80">
        <f>NPV($D$2,G16:T16)+F16</f>
        <v>15547143.557063444</v>
      </c>
      <c r="F16" s="81">
        <v>0</v>
      </c>
      <c r="G16" s="81">
        <v>0</v>
      </c>
      <c r="H16" s="93">
        <f>H65</f>
        <v>9457500.6658358183</v>
      </c>
      <c r="I16" s="81">
        <v>0</v>
      </c>
      <c r="J16" s="81">
        <v>0</v>
      </c>
      <c r="K16" s="93">
        <f>K69</f>
        <v>2514167.0011985903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93">
        <f>T70</f>
        <v>12681954.919710457</v>
      </c>
    </row>
    <row r="17" spans="1:20" x14ac:dyDescent="0.25">
      <c r="A17" s="1" t="s">
        <v>3</v>
      </c>
      <c r="B17" s="82">
        <f t="shared" si="20"/>
        <v>0.23724164939957376</v>
      </c>
      <c r="C17" s="78">
        <f t="shared" si="20"/>
        <v>1.4002111870852145</v>
      </c>
      <c r="D17" s="79">
        <f>NPV($D$2,G17:J17)+F17</f>
        <v>237241.64939957377</v>
      </c>
      <c r="E17" s="80">
        <f>NPV($D$2,G17:T17)+F17</f>
        <v>1400211.1870852145</v>
      </c>
      <c r="F17" s="81">
        <v>0</v>
      </c>
      <c r="G17" s="81">
        <v>0</v>
      </c>
      <c r="H17" s="81">
        <v>0</v>
      </c>
      <c r="I17" s="81">
        <f>(H17*(1+$D$3))+(H16*$D$4*(1+$D$3))</f>
        <v>145409.07273722568</v>
      </c>
      <c r="J17" s="81">
        <f t="shared" ref="J17:T17" si="36">(I17*(1+$D$3))+(I16*$D$4*(1+$D$3))</f>
        <v>149044.2995556563</v>
      </c>
      <c r="K17" s="81">
        <f t="shared" si="36"/>
        <v>152770.4070445477</v>
      </c>
      <c r="L17" s="81">
        <f t="shared" si="36"/>
        <v>195244.9848640897</v>
      </c>
      <c r="M17" s="81">
        <f t="shared" si="36"/>
        <v>200126.10948569191</v>
      </c>
      <c r="N17" s="81">
        <f t="shared" si="36"/>
        <v>205129.26222283419</v>
      </c>
      <c r="O17" s="81">
        <f t="shared" si="36"/>
        <v>210257.49377840504</v>
      </c>
      <c r="P17" s="81">
        <f t="shared" si="36"/>
        <v>215513.93112286515</v>
      </c>
      <c r="Q17" s="81">
        <f t="shared" si="36"/>
        <v>220901.77940093676</v>
      </c>
      <c r="R17" s="81">
        <f t="shared" si="36"/>
        <v>226424.32388596016</v>
      </c>
      <c r="S17" s="81">
        <f t="shared" si="36"/>
        <v>232084.93198310913</v>
      </c>
      <c r="T17" s="81">
        <f t="shared" si="36"/>
        <v>237887.05528268684</v>
      </c>
    </row>
    <row r="18" spans="1:20" x14ac:dyDescent="0.25"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</row>
    <row r="19" spans="1:20" s="12" customFormat="1" x14ac:dyDescent="0.25">
      <c r="A19" s="10" t="s">
        <v>11</v>
      </c>
      <c r="B19" s="75">
        <f t="shared" ref="B19:C21" si="37">D19/1000000</f>
        <v>4.9579877511614638</v>
      </c>
      <c r="C19" s="75">
        <f t="shared" si="37"/>
        <v>12.905270737697538</v>
      </c>
      <c r="D19" s="76">
        <f>D20+D21</f>
        <v>4957987.7511614636</v>
      </c>
      <c r="E19" s="76">
        <f>E20+E21</f>
        <v>12905270.737697538</v>
      </c>
      <c r="F19" s="76">
        <f t="shared" ref="F19" si="38">F20+F21</f>
        <v>0</v>
      </c>
      <c r="G19" s="76">
        <f t="shared" ref="G19" si="39">G20+G21</f>
        <v>0</v>
      </c>
      <c r="H19" s="76">
        <f t="shared" ref="H19" si="40">H20+H21</f>
        <v>5454928.0781718735</v>
      </c>
      <c r="I19" s="76">
        <f t="shared" ref="I19" si="41">I20+I21</f>
        <v>83869.519201892545</v>
      </c>
      <c r="J19" s="76">
        <f t="shared" ref="J19" si="42">J20+J21</f>
        <v>85966.257181939844</v>
      </c>
      <c r="K19" s="76">
        <f t="shared" ref="K19" si="43">K20+K21</f>
        <v>2602282.4148100787</v>
      </c>
      <c r="L19" s="76">
        <f t="shared" ref="L19" si="44">L20+L21</f>
        <v>128973.61659520386</v>
      </c>
      <c r="M19" s="76">
        <f t="shared" ref="M19" si="45">M20+M21</f>
        <v>132197.95701008395</v>
      </c>
      <c r="N19" s="76">
        <f t="shared" ref="N19" si="46">N20+N21</f>
        <v>135502.90593533602</v>
      </c>
      <c r="O19" s="76">
        <f t="shared" ref="O19" si="47">O20+O21</f>
        <v>138890.47858371941</v>
      </c>
      <c r="P19" s="76">
        <f t="shared" ref="P19" si="48">P20+P21</f>
        <v>142362.74054831237</v>
      </c>
      <c r="Q19" s="76">
        <f t="shared" ref="Q19" si="49">Q20+Q21</f>
        <v>145921.80906202018</v>
      </c>
      <c r="R19" s="76">
        <f t="shared" ref="R19" si="50">R20+R21</f>
        <v>149569.85428857067</v>
      </c>
      <c r="S19" s="76">
        <f t="shared" ref="S19" si="51">S20+S21</f>
        <v>153309.10064578493</v>
      </c>
      <c r="T19" s="76">
        <f t="shared" ref="T19" si="52">T20+T21</f>
        <v>12839096.747872386</v>
      </c>
    </row>
    <row r="20" spans="1:20" x14ac:dyDescent="0.25">
      <c r="A20" s="1" t="s">
        <v>2</v>
      </c>
      <c r="B20" s="77">
        <f t="shared" si="37"/>
        <v>4.8211507388949499</v>
      </c>
      <c r="C20" s="78">
        <f t="shared" si="37"/>
        <v>12.009607312412577</v>
      </c>
      <c r="D20" s="79">
        <f>NPV($D$2,G20:J20)+F20</f>
        <v>4821150.7388949497</v>
      </c>
      <c r="E20" s="80">
        <f>NPV($D$2,G20:T20)+F20</f>
        <v>12009607.312412577</v>
      </c>
      <c r="F20" s="81">
        <v>0</v>
      </c>
      <c r="G20" s="81">
        <v>0</v>
      </c>
      <c r="H20" s="93">
        <f>H59</f>
        <v>5454928.0781718735</v>
      </c>
      <c r="I20" s="81">
        <v>0</v>
      </c>
      <c r="J20" s="81">
        <v>0</v>
      </c>
      <c r="K20" s="93">
        <f>K69</f>
        <v>2514167.0011985903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93">
        <f>T70</f>
        <v>12681954.919710457</v>
      </c>
    </row>
    <row r="21" spans="1:20" x14ac:dyDescent="0.25">
      <c r="A21" s="1" t="s">
        <v>3</v>
      </c>
      <c r="B21" s="82">
        <f t="shared" si="37"/>
        <v>0.13683701226651421</v>
      </c>
      <c r="C21" s="78">
        <f t="shared" si="37"/>
        <v>0.89566342528496112</v>
      </c>
      <c r="D21" s="79">
        <f>NPV($D$2,G21:J21)+F21</f>
        <v>136837.01226651421</v>
      </c>
      <c r="E21" s="80">
        <f>NPV($D$2,G21:T21)+F21</f>
        <v>895663.42528496112</v>
      </c>
      <c r="F21" s="81">
        <v>0</v>
      </c>
      <c r="G21" s="81">
        <v>0</v>
      </c>
      <c r="H21" s="81">
        <v>0</v>
      </c>
      <c r="I21" s="81">
        <f>(H21*(1+$D$3))+(H20*$D$4*(1+$D$3))</f>
        <v>83869.519201892545</v>
      </c>
      <c r="J21" s="81">
        <f t="shared" ref="J21:T21" si="53">(I21*(1+$D$3))+(I20*$D$4*(1+$D$3))</f>
        <v>85966.257181939844</v>
      </c>
      <c r="K21" s="81">
        <f t="shared" si="53"/>
        <v>88115.413611488329</v>
      </c>
      <c r="L21" s="81">
        <f t="shared" si="53"/>
        <v>128973.61659520386</v>
      </c>
      <c r="M21" s="81">
        <f t="shared" si="53"/>
        <v>132197.95701008395</v>
      </c>
      <c r="N21" s="81">
        <f t="shared" si="53"/>
        <v>135502.90593533602</v>
      </c>
      <c r="O21" s="81">
        <f t="shared" si="53"/>
        <v>138890.47858371941</v>
      </c>
      <c r="P21" s="81">
        <f t="shared" si="53"/>
        <v>142362.74054831237</v>
      </c>
      <c r="Q21" s="81">
        <f t="shared" si="53"/>
        <v>145921.80906202018</v>
      </c>
      <c r="R21" s="81">
        <f t="shared" si="53"/>
        <v>149569.85428857067</v>
      </c>
      <c r="S21" s="81">
        <f t="shared" si="53"/>
        <v>153309.10064578493</v>
      </c>
      <c r="T21" s="81">
        <f t="shared" si="53"/>
        <v>157141.82816192953</v>
      </c>
    </row>
    <row r="22" spans="1:20" x14ac:dyDescent="0.25"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</row>
    <row r="23" spans="1:20" s="12" customFormat="1" x14ac:dyDescent="0.25">
      <c r="A23" s="8" t="s">
        <v>12</v>
      </c>
      <c r="B23" s="75">
        <f t="shared" ref="B23:C25" si="54">D23/1000000</f>
        <v>15.906128822262705</v>
      </c>
      <c r="C23" s="75">
        <f t="shared" si="54"/>
        <v>19.727480316670039</v>
      </c>
      <c r="D23" s="76">
        <f>D24+D25</f>
        <v>15906128.822262704</v>
      </c>
      <c r="E23" s="76">
        <f>E24+E25</f>
        <v>19727480.316670038</v>
      </c>
      <c r="F23" s="76">
        <f t="shared" ref="F23" si="55">F24+F25</f>
        <v>0</v>
      </c>
      <c r="G23" s="76">
        <f t="shared" ref="G23" si="56">G24+G25</f>
        <v>0</v>
      </c>
      <c r="H23" s="76">
        <f t="shared" ref="H23" si="57">H24+H25</f>
        <v>17500404.011134084</v>
      </c>
      <c r="I23" s="76">
        <f t="shared" ref="I23" si="58">I24+I25</f>
        <v>269068.71167118655</v>
      </c>
      <c r="J23" s="76">
        <f t="shared" ref="J23" si="59">J24+J25</f>
        <v>275795.42946296622</v>
      </c>
      <c r="K23" s="76">
        <f t="shared" ref="K23" si="60">K24+K25</f>
        <v>2796857.3163981307</v>
      </c>
      <c r="L23" s="76">
        <f t="shared" ref="L23" si="61">L24+L25</f>
        <v>328412.89072295715</v>
      </c>
      <c r="M23" s="76">
        <f t="shared" ref="M23" si="62">M24+M25</f>
        <v>336623.21299103106</v>
      </c>
      <c r="N23" s="76">
        <f t="shared" ref="N23" si="63">N24+N25</f>
        <v>345038.79331580683</v>
      </c>
      <c r="O23" s="76">
        <f t="shared" ref="O23" si="64">O24+O25</f>
        <v>353664.76314870198</v>
      </c>
      <c r="P23" s="76">
        <f t="shared" ref="P23" si="65">P24+P25</f>
        <v>362506.38222741953</v>
      </c>
      <c r="Q23" s="76">
        <f t="shared" ref="Q23" si="66">Q24+Q25</f>
        <v>371569.041783105</v>
      </c>
      <c r="R23" s="76">
        <f t="shared" ref="R23" si="67">R24+R25</f>
        <v>380858.2678276826</v>
      </c>
      <c r="S23" s="76">
        <f t="shared" ref="S23" si="68">S24+S25</f>
        <v>390379.72452337464</v>
      </c>
      <c r="T23" s="76">
        <f t="shared" ref="T23" si="69">T24+T25</f>
        <v>400139.21763645898</v>
      </c>
    </row>
    <row r="24" spans="1:20" x14ac:dyDescent="0.25">
      <c r="A24" s="1" t="s">
        <v>2</v>
      </c>
      <c r="B24" s="77">
        <f t="shared" si="54"/>
        <v>15.467130733924378</v>
      </c>
      <c r="C24" s="78">
        <f t="shared" si="54"/>
        <v>17.313413967094331</v>
      </c>
      <c r="D24" s="79">
        <f>NPV($D$2,G24:J24)+F24</f>
        <v>15467130.733924378</v>
      </c>
      <c r="E24" s="80">
        <f>NPV($D$2,G24:T24)+F24</f>
        <v>17313413.967094332</v>
      </c>
      <c r="F24" s="81">
        <v>0</v>
      </c>
      <c r="G24" s="81">
        <v>0</v>
      </c>
      <c r="H24" s="93">
        <f>H63</f>
        <v>17500404.011134084</v>
      </c>
      <c r="I24" s="81">
        <v>0</v>
      </c>
      <c r="J24" s="81">
        <v>0</v>
      </c>
      <c r="K24" s="93">
        <f>K69</f>
        <v>2514167.0011985903</v>
      </c>
      <c r="L24" s="81">
        <v>0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81">
        <v>0</v>
      </c>
      <c r="T24" s="81">
        <v>0</v>
      </c>
    </row>
    <row r="25" spans="1:20" x14ac:dyDescent="0.25">
      <c r="A25" s="1" t="s">
        <v>3</v>
      </c>
      <c r="B25" s="82">
        <f t="shared" si="54"/>
        <v>0.43899808833832582</v>
      </c>
      <c r="C25" s="78">
        <f t="shared" si="54"/>
        <v>2.4140663495757053</v>
      </c>
      <c r="D25" s="79">
        <f>NPV($D$2,G25:J25)+F25</f>
        <v>438998.08833832585</v>
      </c>
      <c r="E25" s="80">
        <f>NPV($D$2,G25:T25)+F25</f>
        <v>2414066.3495757054</v>
      </c>
      <c r="F25" s="81">
        <v>0</v>
      </c>
      <c r="G25" s="81">
        <v>0</v>
      </c>
      <c r="H25" s="81">
        <v>0</v>
      </c>
      <c r="I25" s="81">
        <f>(H25*(1+$D$3))+(H24*$D$4*(1+$D$3))</f>
        <v>269068.71167118655</v>
      </c>
      <c r="J25" s="81">
        <f t="shared" ref="J25:T25" si="70">(I25*(1+$D$3))+(I24*$D$4*(1+$D$3))</f>
        <v>275795.42946296622</v>
      </c>
      <c r="K25" s="81">
        <f t="shared" si="70"/>
        <v>282690.31519954035</v>
      </c>
      <c r="L25" s="81">
        <f t="shared" si="70"/>
        <v>328412.89072295715</v>
      </c>
      <c r="M25" s="81">
        <f t="shared" si="70"/>
        <v>336623.21299103106</v>
      </c>
      <c r="N25" s="81">
        <f t="shared" si="70"/>
        <v>345038.79331580683</v>
      </c>
      <c r="O25" s="81">
        <f t="shared" si="70"/>
        <v>353664.76314870198</v>
      </c>
      <c r="P25" s="81">
        <f t="shared" si="70"/>
        <v>362506.38222741953</v>
      </c>
      <c r="Q25" s="81">
        <f t="shared" si="70"/>
        <v>371569.041783105</v>
      </c>
      <c r="R25" s="81">
        <f t="shared" si="70"/>
        <v>380858.2678276826</v>
      </c>
      <c r="S25" s="81">
        <f t="shared" si="70"/>
        <v>390379.72452337464</v>
      </c>
      <c r="T25" s="81">
        <f t="shared" si="70"/>
        <v>400139.21763645898</v>
      </c>
    </row>
    <row r="26" spans="1:20" x14ac:dyDescent="0.25"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 s="12" customFormat="1" x14ac:dyDescent="0.25">
      <c r="A27" s="8" t="s">
        <v>13</v>
      </c>
      <c r="B27" s="75">
        <f t="shared" ref="B27:C29" si="71">D27/1000000</f>
        <v>41.030077376347691</v>
      </c>
      <c r="C27" s="75">
        <f t="shared" si="71"/>
        <v>45.588156854561369</v>
      </c>
      <c r="D27" s="76">
        <f>D28+D29</f>
        <v>41030077.376347691</v>
      </c>
      <c r="E27" s="76">
        <f>E28+E29</f>
        <v>45588156.854561366</v>
      </c>
      <c r="F27" s="76">
        <f t="shared" ref="F27" si="72">F28+F29</f>
        <v>0</v>
      </c>
      <c r="G27" s="76">
        <f t="shared" ref="G27" si="73">G28+G29</f>
        <v>0</v>
      </c>
      <c r="H27" s="76">
        <f t="shared" ref="H27" si="74">H28+H29</f>
        <v>45142532.084185198</v>
      </c>
      <c r="I27" s="76">
        <f t="shared" ref="I27" si="75">I28+I29</f>
        <v>694066.43079434731</v>
      </c>
      <c r="J27" s="76">
        <f t="shared" ref="J27" si="76">J28+J29</f>
        <v>711418.09156420594</v>
      </c>
      <c r="K27" s="76">
        <f t="shared" ref="K27" si="77">K28+K29</f>
        <v>729203.54385331098</v>
      </c>
      <c r="L27" s="76">
        <f t="shared" ref="L27" si="78">L28+L29</f>
        <v>747433.63244964369</v>
      </c>
      <c r="M27" s="76">
        <f t="shared" ref="M27" si="79">M28+M29</f>
        <v>766119.47326088476</v>
      </c>
      <c r="N27" s="76">
        <f t="shared" ref="N27" si="80">N28+N29</f>
        <v>785272.46009240684</v>
      </c>
      <c r="O27" s="76">
        <f t="shared" ref="O27" si="81">O28+O29</f>
        <v>804904.27159471693</v>
      </c>
      <c r="P27" s="76">
        <f t="shared" ref="P27" si="82">P28+P29</f>
        <v>825026.87838458479</v>
      </c>
      <c r="Q27" s="76">
        <f t="shared" ref="Q27" si="83">Q28+Q29</f>
        <v>845652.55034419929</v>
      </c>
      <c r="R27" s="76">
        <f t="shared" ref="R27" si="84">R28+R29</f>
        <v>866793.86410280422</v>
      </c>
      <c r="S27" s="76">
        <f t="shared" ref="S27" si="85">S28+S29</f>
        <v>888463.71070537425</v>
      </c>
      <c r="T27" s="76">
        <f t="shared" ref="T27" si="86">T28+T29</f>
        <v>910675.30347300856</v>
      </c>
    </row>
    <row r="28" spans="1:20" x14ac:dyDescent="0.25">
      <c r="A28" s="1" t="s">
        <v>2</v>
      </c>
      <c r="B28" s="77">
        <f t="shared" si="71"/>
        <v>39.89767578864145</v>
      </c>
      <c r="C28" s="78">
        <f t="shared" si="71"/>
        <v>39.89767578864145</v>
      </c>
      <c r="D28" s="79">
        <f>NPV($D$2,G28:J28)+F28</f>
        <v>39897675.788641453</v>
      </c>
      <c r="E28" s="80">
        <f>NPV($D$2,G28:T28)+F28</f>
        <v>39897675.788641453</v>
      </c>
      <c r="F28" s="81">
        <v>0</v>
      </c>
      <c r="G28" s="81">
        <v>0</v>
      </c>
      <c r="H28" s="93">
        <f>H66</f>
        <v>45142532.084185198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</row>
    <row r="29" spans="1:20" x14ac:dyDescent="0.25">
      <c r="A29" s="1" t="s">
        <v>3</v>
      </c>
      <c r="B29" s="82">
        <f t="shared" si="71"/>
        <v>1.132401587706237</v>
      </c>
      <c r="C29" s="78">
        <f t="shared" si="71"/>
        <v>5.6904810659199159</v>
      </c>
      <c r="D29" s="79">
        <f>NPV($D$2,G29:J29)+F29</f>
        <v>1132401.5877062371</v>
      </c>
      <c r="E29" s="80">
        <f>NPV($D$2,G29:T29)+F29</f>
        <v>5690481.0659199161</v>
      </c>
      <c r="F29" s="81">
        <v>0</v>
      </c>
      <c r="G29" s="81">
        <v>0</v>
      </c>
      <c r="H29" s="81">
        <v>0</v>
      </c>
      <c r="I29" s="81">
        <f>(H29*(1+$D$3))+(H28*$D$4*(1+$D$3))</f>
        <v>694066.43079434731</v>
      </c>
      <c r="J29" s="81">
        <f t="shared" ref="J29:T29" si="87">(I29*(1+$D$3))+(I28*$D$4*(1+$D$3))</f>
        <v>711418.09156420594</v>
      </c>
      <c r="K29" s="81">
        <f t="shared" si="87"/>
        <v>729203.54385331098</v>
      </c>
      <c r="L29" s="81">
        <f t="shared" si="87"/>
        <v>747433.63244964369</v>
      </c>
      <c r="M29" s="81">
        <f t="shared" si="87"/>
        <v>766119.47326088476</v>
      </c>
      <c r="N29" s="81">
        <f t="shared" si="87"/>
        <v>785272.46009240684</v>
      </c>
      <c r="O29" s="81">
        <f t="shared" si="87"/>
        <v>804904.27159471693</v>
      </c>
      <c r="P29" s="81">
        <f t="shared" si="87"/>
        <v>825026.87838458479</v>
      </c>
      <c r="Q29" s="81">
        <f t="shared" si="87"/>
        <v>845652.55034419929</v>
      </c>
      <c r="R29" s="81">
        <f t="shared" si="87"/>
        <v>866793.86410280422</v>
      </c>
      <c r="S29" s="81">
        <f t="shared" si="87"/>
        <v>888463.71070537425</v>
      </c>
      <c r="T29" s="81">
        <f t="shared" si="87"/>
        <v>910675.30347300856</v>
      </c>
    </row>
    <row r="30" spans="1:20" x14ac:dyDescent="0.25"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</row>
    <row r="31" spans="1:20" s="12" customFormat="1" x14ac:dyDescent="0.25">
      <c r="A31" s="8" t="s">
        <v>14</v>
      </c>
      <c r="B31" s="75">
        <f t="shared" ref="B31:C33" si="88">D31/1000000</f>
        <v>6.3304256877618421</v>
      </c>
      <c r="C31" s="75">
        <f t="shared" si="88"/>
        <v>16.484495381000826</v>
      </c>
      <c r="D31" s="76">
        <f>D32+D33</f>
        <v>6330425.6877618423</v>
      </c>
      <c r="E31" s="76">
        <f>E32+E33</f>
        <v>16484495.381000828</v>
      </c>
      <c r="F31" s="76">
        <f t="shared" ref="F31" si="89">F32+F33</f>
        <v>0</v>
      </c>
      <c r="G31" s="76">
        <f t="shared" ref="G31" si="90">G32+G33</f>
        <v>0</v>
      </c>
      <c r="H31" s="76">
        <f t="shared" ref="H31" si="91">H32+H33</f>
        <v>6964925.8054062482</v>
      </c>
      <c r="I31" s="76">
        <f t="shared" ref="I31" si="92">I32+I33</f>
        <v>107085.73425812105</v>
      </c>
      <c r="J31" s="76">
        <f t="shared" ref="J31" si="93">J32+J33</f>
        <v>109762.87761457407</v>
      </c>
      <c r="K31" s="76">
        <f t="shared" ref="K31" si="94">K32+K33</f>
        <v>5140840.9519521194</v>
      </c>
      <c r="L31" s="76">
        <f t="shared" ref="L31" si="95">L32+L33</f>
        <v>192630.25858066851</v>
      </c>
      <c r="M31" s="76">
        <f t="shared" ref="M31" si="96">M32+M33</f>
        <v>197446.0150451852</v>
      </c>
      <c r="N31" s="76">
        <f t="shared" ref="N31" si="97">N32+N33</f>
        <v>202382.1654213148</v>
      </c>
      <c r="O31" s="76">
        <f t="shared" ref="O31" si="98">O32+O33</f>
        <v>207441.71955684765</v>
      </c>
      <c r="P31" s="76">
        <f t="shared" ref="P31" si="99">P32+P33</f>
        <v>212627.76254576881</v>
      </c>
      <c r="Q31" s="76">
        <f t="shared" ref="Q31" si="100">Q32+Q33</f>
        <v>217943.45660941303</v>
      </c>
      <c r="R31" s="76">
        <f t="shared" ref="R31" si="101">R32+R33</f>
        <v>223392.04302464833</v>
      </c>
      <c r="S31" s="76">
        <f t="shared" ref="S31" si="102">S32+S33</f>
        <v>228976.84410026451</v>
      </c>
      <c r="T31" s="76">
        <f t="shared" ref="T31" si="103">T32+T33</f>
        <v>12916656.184913229</v>
      </c>
    </row>
    <row r="32" spans="1:20" x14ac:dyDescent="0.25">
      <c r="A32" s="1" t="s">
        <v>2</v>
      </c>
      <c r="B32" s="77">
        <f t="shared" si="88"/>
        <v>6.1557103433591465</v>
      </c>
      <c r="C32" s="78">
        <f t="shared" si="88"/>
        <v>15.190450150046724</v>
      </c>
      <c r="D32" s="79">
        <f>NPV($D$2,G32:J32)+F32</f>
        <v>6155710.3433591463</v>
      </c>
      <c r="E32" s="80">
        <f>NPV($D$2,G32:T32)+F32</f>
        <v>15190450.150046723</v>
      </c>
      <c r="F32" s="81">
        <v>0</v>
      </c>
      <c r="G32" s="81">
        <v>0</v>
      </c>
      <c r="H32" s="93">
        <f>H61</f>
        <v>6964925.8054062482</v>
      </c>
      <c r="I32" s="81">
        <v>0</v>
      </c>
      <c r="J32" s="81">
        <v>0</v>
      </c>
      <c r="K32" s="93">
        <f>K68</f>
        <v>5028334.0023971805</v>
      </c>
      <c r="L32" s="81">
        <v>0</v>
      </c>
      <c r="M32" s="81">
        <v>0</v>
      </c>
      <c r="N32" s="81">
        <v>0</v>
      </c>
      <c r="O32" s="81">
        <v>0</v>
      </c>
      <c r="P32" s="81">
        <v>0</v>
      </c>
      <c r="Q32" s="81">
        <v>0</v>
      </c>
      <c r="R32" s="81">
        <v>0</v>
      </c>
      <c r="S32" s="81">
        <v>0</v>
      </c>
      <c r="T32" s="93">
        <f>T70</f>
        <v>12681954.919710457</v>
      </c>
    </row>
    <row r="33" spans="1:20" x14ac:dyDescent="0.25">
      <c r="A33" s="1" t="s">
        <v>3</v>
      </c>
      <c r="B33" s="82">
        <f t="shared" si="88"/>
        <v>0.17471534440269615</v>
      </c>
      <c r="C33" s="78">
        <f t="shared" si="88"/>
        <v>1.2940452309541044</v>
      </c>
      <c r="D33" s="79">
        <f>NPV($D$2,G33:J33)+F33</f>
        <v>174715.34440269615</v>
      </c>
      <c r="E33" s="80">
        <f>NPV($D$2,G33:T33)+F33</f>
        <v>1294045.2309541043</v>
      </c>
      <c r="F33" s="81">
        <v>0</v>
      </c>
      <c r="G33" s="81">
        <v>0</v>
      </c>
      <c r="H33" s="81">
        <v>0</v>
      </c>
      <c r="I33" s="81">
        <f>(H33*(1+$D$3))+(H32*$D$4*(1+$D$3))</f>
        <v>107085.73425812105</v>
      </c>
      <c r="J33" s="81">
        <f t="shared" ref="J33:T33" si="104">(I33*(1+$D$3))+(I32*$D$4*(1+$D$3))</f>
        <v>109762.87761457407</v>
      </c>
      <c r="K33" s="81">
        <f t="shared" si="104"/>
        <v>112506.94955493842</v>
      </c>
      <c r="L33" s="81">
        <f t="shared" si="104"/>
        <v>192630.25858066851</v>
      </c>
      <c r="M33" s="81">
        <f t="shared" si="104"/>
        <v>197446.0150451852</v>
      </c>
      <c r="N33" s="81">
        <f t="shared" si="104"/>
        <v>202382.1654213148</v>
      </c>
      <c r="O33" s="81">
        <f t="shared" si="104"/>
        <v>207441.71955684765</v>
      </c>
      <c r="P33" s="81">
        <f t="shared" si="104"/>
        <v>212627.76254576881</v>
      </c>
      <c r="Q33" s="81">
        <f t="shared" si="104"/>
        <v>217943.45660941303</v>
      </c>
      <c r="R33" s="81">
        <f t="shared" si="104"/>
        <v>223392.04302464833</v>
      </c>
      <c r="S33" s="81">
        <f t="shared" si="104"/>
        <v>228976.84410026451</v>
      </c>
      <c r="T33" s="81">
        <f t="shared" si="104"/>
        <v>234701.26520277112</v>
      </c>
    </row>
    <row r="34" spans="1:20" x14ac:dyDescent="0.25"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</row>
    <row r="35" spans="1:20" s="12" customFormat="1" x14ac:dyDescent="0.25">
      <c r="A35" s="10" t="s">
        <v>15</v>
      </c>
      <c r="B35" s="75">
        <f t="shared" ref="B35:C37" si="105">D35/1000000</f>
        <v>7.7871839439942603</v>
      </c>
      <c r="C35" s="75">
        <f t="shared" si="105"/>
        <v>13.855050822759257</v>
      </c>
      <c r="D35" s="76">
        <f>D36+D37</f>
        <v>7787183.9439942604</v>
      </c>
      <c r="E35" s="76">
        <f>E36+E37</f>
        <v>13855050.822759256</v>
      </c>
      <c r="F35" s="76">
        <f t="shared" ref="F35" si="106">F36+F37</f>
        <v>0</v>
      </c>
      <c r="G35" s="76">
        <f t="shared" ref="G35" si="107">G36+G37</f>
        <v>0</v>
      </c>
      <c r="H35" s="76">
        <f t="shared" ref="H35" si="108">H36+H37</f>
        <v>1785090.625</v>
      </c>
      <c r="I35" s="76">
        <f t="shared" ref="I35" si="109">I36+I37</f>
        <v>7366838.4015281228</v>
      </c>
      <c r="J35" s="76">
        <f t="shared" ref="J35" si="110">J36+J37</f>
        <v>113265.14042349489</v>
      </c>
      <c r="K35" s="76">
        <f t="shared" ref="K35" si="111">K36+K37</f>
        <v>116096.76893408225</v>
      </c>
      <c r="L35" s="76">
        <f t="shared" ref="L35" si="112">L36+L37</f>
        <v>118999.1881574343</v>
      </c>
      <c r="M35" s="76">
        <f t="shared" ref="M35" si="113">M36+M37</f>
        <v>121974.16786137015</v>
      </c>
      <c r="N35" s="76">
        <f t="shared" ref="N35" si="114">N36+N37</f>
        <v>125023.5220579044</v>
      </c>
      <c r="O35" s="76">
        <f t="shared" ref="O35" si="115">O36+O37</f>
        <v>128149.110109352</v>
      </c>
      <c r="P35" s="76">
        <f t="shared" ref="P35" si="116">P36+P37</f>
        <v>131352.83786208578</v>
      </c>
      <c r="Q35" s="76">
        <f t="shared" ref="Q35" si="117">Q36+Q37</f>
        <v>134636.65880863791</v>
      </c>
      <c r="R35" s="76">
        <f t="shared" ref="R35" si="118">R36+R37</f>
        <v>138002.57527885385</v>
      </c>
      <c r="S35" s="76">
        <f t="shared" ref="S35" si="119">S36+S37</f>
        <v>141452.6396608252</v>
      </c>
      <c r="T35" s="76">
        <f t="shared" ref="T35" si="120">T36+T37</f>
        <v>12826943.875362802</v>
      </c>
    </row>
    <row r="36" spans="1:20" x14ac:dyDescent="0.25">
      <c r="A36" s="1" t="s">
        <v>2</v>
      </c>
      <c r="B36" s="77">
        <f t="shared" si="105"/>
        <v>6.2556591528809511</v>
      </c>
      <c r="C36" s="78">
        <f t="shared" si="105"/>
        <v>11.59783249322863</v>
      </c>
      <c r="D36" s="79">
        <f>NPV($D$2,G36:J36)+F36</f>
        <v>6255659.1528809508</v>
      </c>
      <c r="E36" s="80">
        <f>NPV($D$2,G36:T36)+F36</f>
        <v>11597832.493228629</v>
      </c>
      <c r="F36" s="81">
        <v>0</v>
      </c>
      <c r="G36" s="81">
        <v>0</v>
      </c>
      <c r="H36" s="93">
        <f>H71</f>
        <v>152340.625</v>
      </c>
      <c r="I36" s="93">
        <f>I60</f>
        <v>7366838.4015281228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93">
        <f>T70</f>
        <v>12681954.919710457</v>
      </c>
    </row>
    <row r="37" spans="1:20" x14ac:dyDescent="0.25">
      <c r="A37" s="1" t="s">
        <v>3</v>
      </c>
      <c r="B37" s="82">
        <f t="shared" si="105"/>
        <v>1.5315247911133099</v>
      </c>
      <c r="C37" s="78">
        <f t="shared" si="105"/>
        <v>2.2572183295306267</v>
      </c>
      <c r="D37" s="79">
        <f>NPV($D$2,G37:J37)+F37</f>
        <v>1531524.7911133098</v>
      </c>
      <c r="E37" s="80">
        <f>NPV($D$2,G37:T37)+F37</f>
        <v>2257218.3295306265</v>
      </c>
      <c r="F37" s="81">
        <v>0</v>
      </c>
      <c r="G37" s="81">
        <v>0</v>
      </c>
      <c r="H37" s="81">
        <v>1632750</v>
      </c>
      <c r="I37" s="81">
        <v>0</v>
      </c>
      <c r="J37" s="81">
        <f>(I37*(1+$D$3))+(I36*$D$4*(1+$D$3))</f>
        <v>113265.14042349489</v>
      </c>
      <c r="K37" s="81">
        <f t="shared" ref="K37:T37" si="121">(J37*(1+$D$3))+(J36*$D$4*(1+$D$3))</f>
        <v>116096.76893408225</v>
      </c>
      <c r="L37" s="81">
        <f t="shared" si="121"/>
        <v>118999.1881574343</v>
      </c>
      <c r="M37" s="81">
        <f t="shared" si="121"/>
        <v>121974.16786137015</v>
      </c>
      <c r="N37" s="81">
        <f t="shared" si="121"/>
        <v>125023.5220579044</v>
      </c>
      <c r="O37" s="81">
        <f t="shared" si="121"/>
        <v>128149.110109352</v>
      </c>
      <c r="P37" s="81">
        <f t="shared" si="121"/>
        <v>131352.83786208578</v>
      </c>
      <c r="Q37" s="81">
        <f t="shared" si="121"/>
        <v>134636.65880863791</v>
      </c>
      <c r="R37" s="81">
        <f t="shared" si="121"/>
        <v>138002.57527885385</v>
      </c>
      <c r="S37" s="81">
        <f t="shared" si="121"/>
        <v>141452.6396608252</v>
      </c>
      <c r="T37" s="81">
        <f t="shared" si="121"/>
        <v>144988.95565234582</v>
      </c>
    </row>
    <row r="38" spans="1:20" x14ac:dyDescent="0.25"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</row>
    <row r="39" spans="1:20" s="12" customFormat="1" x14ac:dyDescent="0.25">
      <c r="A39" s="10" t="s">
        <v>16</v>
      </c>
      <c r="B39" s="75">
        <f t="shared" ref="B39:C41" si="122">D39/1000000</f>
        <v>12.941544267445684</v>
      </c>
      <c r="C39" s="75">
        <f t="shared" si="122"/>
        <v>19.009411146210674</v>
      </c>
      <c r="D39" s="76">
        <f>D40+D41</f>
        <v>12941544.267445683</v>
      </c>
      <c r="E39" s="76">
        <f>E40+E41</f>
        <v>19009411.146210674</v>
      </c>
      <c r="F39" s="76">
        <f t="shared" ref="F39" si="123">F40+F41</f>
        <v>0</v>
      </c>
      <c r="G39" s="76">
        <f t="shared" ref="G39" si="124">G40+G41</f>
        <v>0</v>
      </c>
      <c r="H39" s="76">
        <f t="shared" ref="H39:I39" si="125">H40+H41</f>
        <v>7617031.2499999981</v>
      </c>
      <c r="I39" s="76">
        <f t="shared" si="125"/>
        <v>7366838.4015281228</v>
      </c>
      <c r="J39" s="76">
        <f t="shared" ref="J39" si="126">J40+J41</f>
        <v>113265.14042349489</v>
      </c>
      <c r="K39" s="76">
        <f t="shared" ref="K39" si="127">K40+K41</f>
        <v>116096.76893408225</v>
      </c>
      <c r="L39" s="76">
        <f t="shared" ref="L39" si="128">L40+L41</f>
        <v>118999.1881574343</v>
      </c>
      <c r="M39" s="76">
        <f t="shared" ref="M39" si="129">M40+M41</f>
        <v>121974.16786137015</v>
      </c>
      <c r="N39" s="76">
        <f t="shared" ref="N39" si="130">N40+N41</f>
        <v>125023.5220579044</v>
      </c>
      <c r="O39" s="76">
        <f t="shared" ref="O39" si="131">O40+O41</f>
        <v>128149.110109352</v>
      </c>
      <c r="P39" s="76">
        <f t="shared" ref="P39" si="132">P40+P41</f>
        <v>131352.83786208578</v>
      </c>
      <c r="Q39" s="76">
        <f t="shared" ref="Q39" si="133">Q40+Q41</f>
        <v>134636.65880863791</v>
      </c>
      <c r="R39" s="76">
        <f t="shared" ref="R39" si="134">R40+R41</f>
        <v>138002.57527885385</v>
      </c>
      <c r="S39" s="76">
        <f t="shared" ref="S39" si="135">S40+S41</f>
        <v>141452.6396608252</v>
      </c>
      <c r="T39" s="76">
        <f t="shared" ref="T39" si="136">T40+T41</f>
        <v>12826943.875362802</v>
      </c>
    </row>
    <row r="40" spans="1:20" x14ac:dyDescent="0.25">
      <c r="A40" s="1" t="s">
        <v>2</v>
      </c>
      <c r="B40" s="77">
        <f t="shared" si="122"/>
        <v>12.8530694590498</v>
      </c>
      <c r="C40" s="78">
        <f t="shared" si="122"/>
        <v>18.195242799397477</v>
      </c>
      <c r="D40" s="79">
        <f>NPV($D$2,G40:J40)+F40</f>
        <v>12853069.4590498</v>
      </c>
      <c r="E40" s="80">
        <f>NPV($D$2,G40:T40)+F40</f>
        <v>18195242.799397476</v>
      </c>
      <c r="F40" s="81">
        <v>0</v>
      </c>
      <c r="G40" s="81">
        <v>0</v>
      </c>
      <c r="H40" s="93">
        <f>H72</f>
        <v>7617031.2499999981</v>
      </c>
      <c r="I40" s="93">
        <f>I60</f>
        <v>7366838.4015281228</v>
      </c>
      <c r="J40" s="81">
        <v>0</v>
      </c>
      <c r="K40" s="81">
        <v>0</v>
      </c>
      <c r="L40" s="81">
        <v>0</v>
      </c>
      <c r="M40" s="81">
        <v>0</v>
      </c>
      <c r="N40" s="81">
        <v>0</v>
      </c>
      <c r="O40" s="81">
        <v>0</v>
      </c>
      <c r="P40" s="81">
        <v>0</v>
      </c>
      <c r="Q40" s="81">
        <v>0</v>
      </c>
      <c r="R40" s="81">
        <v>0</v>
      </c>
      <c r="S40" s="81">
        <v>0</v>
      </c>
      <c r="T40" s="93">
        <f>T70</f>
        <v>12681954.919710457</v>
      </c>
    </row>
    <row r="41" spans="1:20" x14ac:dyDescent="0.25">
      <c r="A41" s="1" t="s">
        <v>3</v>
      </c>
      <c r="B41" s="82">
        <f t="shared" si="122"/>
        <v>8.8474808395883064E-2</v>
      </c>
      <c r="C41" s="78">
        <f t="shared" si="122"/>
        <v>0.81416834681319872</v>
      </c>
      <c r="D41" s="79">
        <f>NPV($D$2,G41:J41)+F41</f>
        <v>88474.808395883068</v>
      </c>
      <c r="E41" s="80">
        <f>NPV($D$2,G41:T41)+F41</f>
        <v>814168.34681319876</v>
      </c>
      <c r="F41" s="81">
        <v>0</v>
      </c>
      <c r="G41" s="81">
        <v>0</v>
      </c>
      <c r="H41" s="81">
        <v>0</v>
      </c>
      <c r="I41" s="81">
        <v>0</v>
      </c>
      <c r="J41" s="81">
        <f>(I41*(1+$D$3))+(I40*$D$4*(1+$D$3))</f>
        <v>113265.14042349489</v>
      </c>
      <c r="K41" s="81">
        <f t="shared" ref="K41:T41" si="137">(J41*(1+$D$3))+(J40*$D$4*(1+$D$3))</f>
        <v>116096.76893408225</v>
      </c>
      <c r="L41" s="81">
        <f t="shared" si="137"/>
        <v>118999.1881574343</v>
      </c>
      <c r="M41" s="81">
        <f t="shared" si="137"/>
        <v>121974.16786137015</v>
      </c>
      <c r="N41" s="81">
        <f t="shared" si="137"/>
        <v>125023.5220579044</v>
      </c>
      <c r="O41" s="81">
        <f t="shared" si="137"/>
        <v>128149.110109352</v>
      </c>
      <c r="P41" s="81">
        <f t="shared" si="137"/>
        <v>131352.83786208578</v>
      </c>
      <c r="Q41" s="81">
        <f t="shared" si="137"/>
        <v>134636.65880863791</v>
      </c>
      <c r="R41" s="81">
        <f t="shared" si="137"/>
        <v>138002.57527885385</v>
      </c>
      <c r="S41" s="81">
        <f t="shared" si="137"/>
        <v>141452.6396608252</v>
      </c>
      <c r="T41" s="81">
        <f t="shared" si="137"/>
        <v>144988.95565234582</v>
      </c>
    </row>
    <row r="42" spans="1:20" x14ac:dyDescent="0.25"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</row>
    <row r="43" spans="1:20" s="12" customFormat="1" x14ac:dyDescent="0.25">
      <c r="A43" s="8" t="s">
        <v>17</v>
      </c>
      <c r="B43" s="75">
        <f t="shared" ref="B43:C45" si="138">D43/1000000</f>
        <v>1.1682728388952488</v>
      </c>
      <c r="C43" s="75">
        <f t="shared" si="138"/>
        <v>12.803193874773438</v>
      </c>
      <c r="D43" s="76">
        <f>D44+D45</f>
        <v>1168272.8388952487</v>
      </c>
      <c r="E43" s="76">
        <f>E44+E45</f>
        <v>12803193.874773437</v>
      </c>
      <c r="F43" s="76">
        <f t="shared" ref="F43" si="139">F44+F45</f>
        <v>0</v>
      </c>
      <c r="G43" s="76">
        <f t="shared" ref="G43" si="140">G44+G45</f>
        <v>0</v>
      </c>
      <c r="H43" s="76">
        <f t="shared" ref="H43" si="141">H44+H45</f>
        <v>1285369.1117656247</v>
      </c>
      <c r="I43" s="76">
        <f t="shared" ref="I43" si="142">I44+I45</f>
        <v>19762.550093396479</v>
      </c>
      <c r="J43" s="76">
        <f t="shared" ref="J43" si="143">J44+J45</f>
        <v>20256.61384573139</v>
      </c>
      <c r="K43" s="76">
        <f t="shared" ref="K43" si="144">K44+K45</f>
        <v>7563264.0327876452</v>
      </c>
      <c r="L43" s="76">
        <f t="shared" ref="L43" si="145">L44+L45</f>
        <v>137248.05785195649</v>
      </c>
      <c r="M43" s="76">
        <f t="shared" ref="M43" si="146">M44+M45</f>
        <v>140679.25929825538</v>
      </c>
      <c r="N43" s="76">
        <f t="shared" ref="N43" si="147">N44+N45</f>
        <v>144196.24078071176</v>
      </c>
      <c r="O43" s="76">
        <f t="shared" ref="O43" si="148">O44+O45</f>
        <v>147801.14680022953</v>
      </c>
      <c r="P43" s="76">
        <f t="shared" ref="P43" si="149">P44+P45</f>
        <v>151496.17547023526</v>
      </c>
      <c r="Q43" s="76">
        <f t="shared" ref="Q43" si="150">Q44+Q45</f>
        <v>155283.57985699113</v>
      </c>
      <c r="R43" s="76">
        <f t="shared" ref="R43" si="151">R44+R45</f>
        <v>159165.6693534159</v>
      </c>
      <c r="S43" s="76">
        <f t="shared" ref="S43" si="152">S44+S45</f>
        <v>163144.81108725129</v>
      </c>
      <c r="T43" s="76">
        <f t="shared" ref="T43" si="153">T44+T45</f>
        <v>12849178.351074889</v>
      </c>
    </row>
    <row r="44" spans="1:20" x14ac:dyDescent="0.25">
      <c r="A44" s="1" t="s">
        <v>2</v>
      </c>
      <c r="B44" s="77">
        <f t="shared" si="138"/>
        <v>1.1360293214018675</v>
      </c>
      <c r="C44" s="78">
        <f t="shared" si="138"/>
        <v>12.017052361259397</v>
      </c>
      <c r="D44" s="79">
        <f>NPV($D$2,G44:J44)+F44</f>
        <v>1136029.3214018675</v>
      </c>
      <c r="E44" s="80">
        <f>NPV($D$2,G44:T44)+F44</f>
        <v>12017052.361259397</v>
      </c>
      <c r="F44" s="81">
        <v>0</v>
      </c>
      <c r="G44" s="81">
        <v>0</v>
      </c>
      <c r="H44" s="93">
        <f>H57</f>
        <v>1285369.1117656247</v>
      </c>
      <c r="I44" s="81">
        <v>0</v>
      </c>
      <c r="J44" s="81">
        <v>0</v>
      </c>
      <c r="K44" s="93">
        <f>K67</f>
        <v>7542501.0035957703</v>
      </c>
      <c r="L44" s="81">
        <v>0</v>
      </c>
      <c r="M44" s="81">
        <v>0</v>
      </c>
      <c r="N44" s="81">
        <v>0</v>
      </c>
      <c r="O44" s="81">
        <v>0</v>
      </c>
      <c r="P44" s="81">
        <v>0</v>
      </c>
      <c r="Q44" s="81">
        <v>0</v>
      </c>
      <c r="R44" s="81">
        <v>0</v>
      </c>
      <c r="S44" s="81">
        <v>0</v>
      </c>
      <c r="T44" s="93">
        <f>T70</f>
        <v>12681954.919710457</v>
      </c>
    </row>
    <row r="45" spans="1:20" x14ac:dyDescent="0.25">
      <c r="A45" s="1" t="s">
        <v>3</v>
      </c>
      <c r="B45" s="82">
        <f t="shared" si="138"/>
        <v>3.2243517493381245E-2</v>
      </c>
      <c r="C45" s="78">
        <f t="shared" si="138"/>
        <v>0.78614151351403949</v>
      </c>
      <c r="D45" s="79">
        <f>NPV($D$2,G45:J45)+F45</f>
        <v>32243.517493381245</v>
      </c>
      <c r="E45" s="80">
        <f>NPV($D$2,G45:T45)+F45</f>
        <v>786141.51351403946</v>
      </c>
      <c r="F45" s="81">
        <v>0</v>
      </c>
      <c r="G45" s="81">
        <v>0</v>
      </c>
      <c r="H45" s="81">
        <v>0</v>
      </c>
      <c r="I45" s="81">
        <f>(H45*(1+$D$3))+(H44*$D$4*(1+$D$3))</f>
        <v>19762.550093396479</v>
      </c>
      <c r="J45" s="81">
        <f t="shared" ref="J45:T45" si="154">(I45*(1+$D$3))+(I44*$D$4*(1+$D$3))</f>
        <v>20256.61384573139</v>
      </c>
      <c r="K45" s="81">
        <f t="shared" si="154"/>
        <v>20763.029191874673</v>
      </c>
      <c r="L45" s="81">
        <f t="shared" si="154"/>
        <v>137248.05785195649</v>
      </c>
      <c r="M45" s="81">
        <f t="shared" si="154"/>
        <v>140679.25929825538</v>
      </c>
      <c r="N45" s="81">
        <f t="shared" si="154"/>
        <v>144196.24078071176</v>
      </c>
      <c r="O45" s="81">
        <f t="shared" si="154"/>
        <v>147801.14680022953</v>
      </c>
      <c r="P45" s="81">
        <f t="shared" si="154"/>
        <v>151496.17547023526</v>
      </c>
      <c r="Q45" s="81">
        <f t="shared" si="154"/>
        <v>155283.57985699113</v>
      </c>
      <c r="R45" s="81">
        <f t="shared" si="154"/>
        <v>159165.6693534159</v>
      </c>
      <c r="S45" s="81">
        <f t="shared" si="154"/>
        <v>163144.81108725129</v>
      </c>
      <c r="T45" s="81">
        <f t="shared" si="154"/>
        <v>167223.43136443256</v>
      </c>
    </row>
    <row r="46" spans="1:20" x14ac:dyDescent="0.25"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</row>
    <row r="47" spans="1:20" s="12" customFormat="1" x14ac:dyDescent="0.25">
      <c r="A47" s="8" t="s">
        <v>18</v>
      </c>
      <c r="B47" s="75">
        <f t="shared" ref="B47:C49" si="155">D47/1000000</f>
        <v>1.4877145288733635</v>
      </c>
      <c r="C47" s="75">
        <f t="shared" si="155"/>
        <v>13.158122717218255</v>
      </c>
      <c r="D47" s="76">
        <f>D48+D49</f>
        <v>1487714.5288733635</v>
      </c>
      <c r="E47" s="76">
        <f>E48+E49</f>
        <v>13158122.717218256</v>
      </c>
      <c r="F47" s="76">
        <f t="shared" ref="F47" si="156">F48+F49</f>
        <v>0</v>
      </c>
      <c r="G47" s="76">
        <f t="shared" ref="G47" si="157">G48+G49</f>
        <v>0</v>
      </c>
      <c r="H47" s="76">
        <f t="shared" ref="H47" si="158">H48+H49</f>
        <v>1636828.5205937496</v>
      </c>
      <c r="I47" s="76">
        <f t="shared" ref="I47" si="159">I48+I49</f>
        <v>25166.238504128898</v>
      </c>
      <c r="J47" s="76">
        <f t="shared" ref="J47" si="160">J48+J49</f>
        <v>25795.394466732119</v>
      </c>
      <c r="K47" s="76">
        <f t="shared" ref="K47" si="161">K48+K49</f>
        <v>7568941.2829241706</v>
      </c>
      <c r="L47" s="76">
        <f t="shared" ref="L47" si="162">L48+L49</f>
        <v>143067.23924189538</v>
      </c>
      <c r="M47" s="76">
        <f t="shared" ref="M47" si="163">M48+M49</f>
        <v>146643.92022294275</v>
      </c>
      <c r="N47" s="76">
        <f t="shared" ref="N47" si="164">N48+N49</f>
        <v>150310.0182285163</v>
      </c>
      <c r="O47" s="76">
        <f t="shared" ref="O47" si="165">O48+O49</f>
        <v>154067.7686842292</v>
      </c>
      <c r="P47" s="76">
        <f t="shared" ref="P47" si="166">P48+P49</f>
        <v>157919.46290133492</v>
      </c>
      <c r="Q47" s="76">
        <f t="shared" ref="Q47" si="167">Q48+Q49</f>
        <v>161867.44947386827</v>
      </c>
      <c r="R47" s="76">
        <f t="shared" ref="R47" si="168">R48+R49</f>
        <v>165914.13571071497</v>
      </c>
      <c r="S47" s="76">
        <f t="shared" ref="S47" si="169">S48+S49</f>
        <v>170061.98910348283</v>
      </c>
      <c r="T47" s="76">
        <f t="shared" ref="T47" si="170">T48+T49</f>
        <v>12856268.458541527</v>
      </c>
    </row>
    <row r="48" spans="1:20" x14ac:dyDescent="0.25">
      <c r="A48" s="1" t="s">
        <v>2</v>
      </c>
      <c r="B48" s="77">
        <f t="shared" si="155"/>
        <v>1.4466546429975207</v>
      </c>
      <c r="C48" s="78">
        <f t="shared" si="155"/>
        <v>12.327677682855049</v>
      </c>
      <c r="D48" s="79">
        <f>NPV($D$2,G48:J48)+F48</f>
        <v>1446654.6429975207</v>
      </c>
      <c r="E48" s="80">
        <f>NPV($D$2,G48:T48)+F48</f>
        <v>12327677.682855049</v>
      </c>
      <c r="F48" s="81">
        <v>0</v>
      </c>
      <c r="G48" s="81">
        <v>0</v>
      </c>
      <c r="H48" s="93">
        <f>H58</f>
        <v>1636828.5205937496</v>
      </c>
      <c r="I48" s="81">
        <v>0</v>
      </c>
      <c r="J48" s="81">
        <v>0</v>
      </c>
      <c r="K48" s="93">
        <f>K67</f>
        <v>7542501.0035957703</v>
      </c>
      <c r="L48" s="81">
        <v>0</v>
      </c>
      <c r="M48" s="81">
        <v>0</v>
      </c>
      <c r="N48" s="81">
        <v>0</v>
      </c>
      <c r="O48" s="81">
        <v>0</v>
      </c>
      <c r="P48" s="81">
        <v>0</v>
      </c>
      <c r="Q48" s="81">
        <v>0</v>
      </c>
      <c r="R48" s="81">
        <v>0</v>
      </c>
      <c r="S48" s="81">
        <v>0</v>
      </c>
      <c r="T48" s="93">
        <f>T70</f>
        <v>12681954.919710457</v>
      </c>
    </row>
    <row r="49" spans="1:21" x14ac:dyDescent="0.25">
      <c r="A49" s="1" t="s">
        <v>3</v>
      </c>
      <c r="B49" s="82">
        <f t="shared" si="155"/>
        <v>4.1059885875842736E-2</v>
      </c>
      <c r="C49" s="78">
        <f t="shared" si="155"/>
        <v>0.83044503436320571</v>
      </c>
      <c r="D49" s="79">
        <f>NPV($D$2,G49:J49)+F49</f>
        <v>41059.885875842738</v>
      </c>
      <c r="E49" s="80">
        <f>NPV($D$2,G49:T49)+F49</f>
        <v>830445.03436320566</v>
      </c>
      <c r="F49" s="81">
        <v>0</v>
      </c>
      <c r="G49" s="81">
        <v>0</v>
      </c>
      <c r="H49" s="81">
        <v>0</v>
      </c>
      <c r="I49" s="81">
        <f>(H49*(1+$D$3))+(H48*$D$4*(1+$D$3))</f>
        <v>25166.238504128898</v>
      </c>
      <c r="J49" s="81">
        <f t="shared" ref="J49:T49" si="171">(I49*(1+$D$3))+(I48*$D$4*(1+$D$3))</f>
        <v>25795.394466732119</v>
      </c>
      <c r="K49" s="81">
        <f t="shared" si="171"/>
        <v>26440.279328400418</v>
      </c>
      <c r="L49" s="81">
        <f t="shared" si="171"/>
        <v>143067.23924189538</v>
      </c>
      <c r="M49" s="81">
        <f t="shared" si="171"/>
        <v>146643.92022294275</v>
      </c>
      <c r="N49" s="81">
        <f t="shared" si="171"/>
        <v>150310.0182285163</v>
      </c>
      <c r="O49" s="81">
        <f t="shared" si="171"/>
        <v>154067.7686842292</v>
      </c>
      <c r="P49" s="81">
        <f t="shared" si="171"/>
        <v>157919.46290133492</v>
      </c>
      <c r="Q49" s="81">
        <f t="shared" si="171"/>
        <v>161867.44947386827</v>
      </c>
      <c r="R49" s="81">
        <f t="shared" si="171"/>
        <v>165914.13571071497</v>
      </c>
      <c r="S49" s="81">
        <f t="shared" si="171"/>
        <v>170061.98910348283</v>
      </c>
      <c r="T49" s="81">
        <f t="shared" si="171"/>
        <v>174313.53883106989</v>
      </c>
    </row>
    <row r="51" spans="1:21" s="12" customFormat="1" x14ac:dyDescent="0.25">
      <c r="A51" s="10"/>
      <c r="B51" s="75"/>
      <c r="C51" s="75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</row>
    <row r="52" spans="1:21" x14ac:dyDescent="0.25">
      <c r="A52" s="1"/>
      <c r="B52" s="77"/>
      <c r="C52" s="78"/>
      <c r="D52" s="79"/>
      <c r="E52" s="80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93"/>
    </row>
    <row r="53" spans="1:21" x14ac:dyDescent="0.25">
      <c r="A53" s="1"/>
      <c r="B53" s="82"/>
      <c r="C53" s="78"/>
      <c r="D53" s="79"/>
      <c r="E53" s="80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</row>
    <row r="54" spans="1:21" x14ac:dyDescent="0.25">
      <c r="B54" s="84"/>
      <c r="C54" s="86"/>
      <c r="D54" s="85"/>
      <c r="E54" s="85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74"/>
    </row>
    <row r="55" spans="1:21" x14ac:dyDescent="0.25">
      <c r="B55" s="84"/>
      <c r="U55" s="74"/>
    </row>
    <row r="56" spans="1:21" x14ac:dyDescent="0.25">
      <c r="B56" s="84"/>
      <c r="C56" s="92" t="s">
        <v>97</v>
      </c>
      <c r="F56" s="84">
        <v>2016</v>
      </c>
      <c r="G56" s="84">
        <v>2017</v>
      </c>
      <c r="H56" s="84">
        <v>2018</v>
      </c>
      <c r="I56" s="84">
        <v>2019</v>
      </c>
      <c r="J56" s="84">
        <v>2020</v>
      </c>
      <c r="K56" s="84">
        <v>2021</v>
      </c>
      <c r="L56" s="84">
        <v>2022</v>
      </c>
      <c r="M56" s="84">
        <v>2023</v>
      </c>
      <c r="N56" s="84">
        <v>2024</v>
      </c>
      <c r="O56" s="84">
        <v>2025</v>
      </c>
      <c r="P56" s="84">
        <v>2026</v>
      </c>
      <c r="Q56" s="84">
        <v>2027</v>
      </c>
      <c r="R56" s="84">
        <v>2028</v>
      </c>
      <c r="S56" s="84">
        <v>2029</v>
      </c>
      <c r="T56" s="84">
        <v>2030</v>
      </c>
      <c r="U56" s="74"/>
    </row>
    <row r="57" spans="1:21" s="97" customFormat="1" x14ac:dyDescent="0.25">
      <c r="A57" s="94" t="s">
        <v>61</v>
      </c>
      <c r="B57" s="91"/>
      <c r="C57" s="90">
        <v>1193593</v>
      </c>
      <c r="D57" s="95"/>
      <c r="E57" s="95"/>
      <c r="F57" s="96">
        <f t="shared" ref="F57:F70" si="172">C57*(1+$D$3)</f>
        <v>1223432.825</v>
      </c>
      <c r="G57" s="96">
        <f t="shared" ref="G57:T73" si="173">F57*(1+$D$3)</f>
        <v>1254018.6456249999</v>
      </c>
      <c r="H57" s="96">
        <f t="shared" ref="H57:S57" si="174">G57*(1+$D$3)</f>
        <v>1285369.1117656247</v>
      </c>
      <c r="I57" s="96">
        <f t="shared" si="174"/>
        <v>1317503.3395597653</v>
      </c>
      <c r="J57" s="96">
        <f t="shared" si="174"/>
        <v>1350440.9230487593</v>
      </c>
      <c r="K57" s="96">
        <f t="shared" si="174"/>
        <v>1384201.9461249781</v>
      </c>
      <c r="L57" s="96">
        <f t="shared" si="174"/>
        <v>1418806.9947781025</v>
      </c>
      <c r="M57" s="96">
        <f t="shared" si="174"/>
        <v>1454277.1696475549</v>
      </c>
      <c r="N57" s="96">
        <f t="shared" si="174"/>
        <v>1490634.0988887437</v>
      </c>
      <c r="O57" s="96">
        <f t="shared" si="174"/>
        <v>1527899.9513609621</v>
      </c>
      <c r="P57" s="96">
        <f t="shared" si="174"/>
        <v>1566097.4501449859</v>
      </c>
      <c r="Q57" s="96">
        <f t="shared" si="174"/>
        <v>1605249.8863986104</v>
      </c>
      <c r="R57" s="96">
        <f t="shared" si="174"/>
        <v>1645381.1335585755</v>
      </c>
      <c r="S57" s="96">
        <f t="shared" si="174"/>
        <v>1686515.6618975399</v>
      </c>
      <c r="T57" s="96">
        <f t="shared" ref="T57:T71" si="175">S57*(1+$D$3)</f>
        <v>1728678.5534449783</v>
      </c>
      <c r="U57" s="95"/>
    </row>
    <row r="58" spans="1:21" s="103" customFormat="1" x14ac:dyDescent="0.25">
      <c r="A58" s="98" t="s">
        <v>62</v>
      </c>
      <c r="B58" s="99"/>
      <c r="C58" s="100">
        <v>1519958</v>
      </c>
      <c r="D58" s="101"/>
      <c r="E58" s="101"/>
      <c r="F58" s="102">
        <f t="shared" si="172"/>
        <v>1557956.95</v>
      </c>
      <c r="G58" s="102">
        <f t="shared" si="173"/>
        <v>1596905.8737499998</v>
      </c>
      <c r="H58" s="102">
        <f t="shared" ref="H58:S58" si="176">G58*(1+$D$3)</f>
        <v>1636828.5205937496</v>
      </c>
      <c r="I58" s="102">
        <f t="shared" si="176"/>
        <v>1677749.2336085932</v>
      </c>
      <c r="J58" s="102">
        <f t="shared" si="176"/>
        <v>1719692.964448808</v>
      </c>
      <c r="K58" s="102">
        <f t="shared" si="176"/>
        <v>1762685.288560028</v>
      </c>
      <c r="L58" s="102">
        <f t="shared" si="176"/>
        <v>1806752.4207740284</v>
      </c>
      <c r="M58" s="102">
        <f t="shared" si="176"/>
        <v>1851921.2312933789</v>
      </c>
      <c r="N58" s="102">
        <f t="shared" si="176"/>
        <v>1898219.2620757131</v>
      </c>
      <c r="O58" s="102">
        <f t="shared" si="176"/>
        <v>1945674.7436276057</v>
      </c>
      <c r="P58" s="102">
        <f t="shared" si="176"/>
        <v>1994316.6122182957</v>
      </c>
      <c r="Q58" s="102">
        <f t="shared" si="176"/>
        <v>2044174.527523753</v>
      </c>
      <c r="R58" s="102">
        <f t="shared" si="176"/>
        <v>2095278.8907118465</v>
      </c>
      <c r="S58" s="102">
        <f t="shared" si="176"/>
        <v>2147660.8629796426</v>
      </c>
      <c r="T58" s="102">
        <f t="shared" si="175"/>
        <v>2201352.3845541333</v>
      </c>
      <c r="U58" s="101"/>
    </row>
    <row r="59" spans="1:21" s="97" customFormat="1" x14ac:dyDescent="0.25">
      <c r="A59" s="88" t="s">
        <v>52</v>
      </c>
      <c r="B59" s="91"/>
      <c r="C59" s="89">
        <v>5065443</v>
      </c>
      <c r="D59" s="95"/>
      <c r="E59" s="95"/>
      <c r="F59" s="96">
        <f t="shared" si="172"/>
        <v>5192079.0749999993</v>
      </c>
      <c r="G59" s="96">
        <f t="shared" si="173"/>
        <v>5321881.051874999</v>
      </c>
      <c r="H59" s="96">
        <f t="shared" ref="H59:S59" si="177">G59*(1+$D$3)</f>
        <v>5454928.0781718735</v>
      </c>
      <c r="I59" s="96">
        <f t="shared" si="177"/>
        <v>5591301.2801261703</v>
      </c>
      <c r="J59" s="96">
        <f t="shared" si="177"/>
        <v>5731083.8121293243</v>
      </c>
      <c r="K59" s="96">
        <f t="shared" si="177"/>
        <v>5874360.9074325571</v>
      </c>
      <c r="L59" s="96">
        <f t="shared" si="177"/>
        <v>6021219.9301183708</v>
      </c>
      <c r="M59" s="96">
        <f t="shared" si="177"/>
        <v>6171750.4283713298</v>
      </c>
      <c r="N59" s="96">
        <f t="shared" si="177"/>
        <v>6326044.1890806127</v>
      </c>
      <c r="O59" s="96">
        <f t="shared" si="177"/>
        <v>6484195.2938076276</v>
      </c>
      <c r="P59" s="96">
        <f t="shared" si="177"/>
        <v>6646300.1761528179</v>
      </c>
      <c r="Q59" s="96">
        <f t="shared" si="177"/>
        <v>6812457.6805566382</v>
      </c>
      <c r="R59" s="96">
        <f t="shared" si="177"/>
        <v>6982769.1225705538</v>
      </c>
      <c r="S59" s="96">
        <f t="shared" si="177"/>
        <v>7157338.350634817</v>
      </c>
      <c r="T59" s="96">
        <f t="shared" si="175"/>
        <v>7336271.809400687</v>
      </c>
      <c r="U59" s="95"/>
    </row>
    <row r="60" spans="1:21" s="103" customFormat="1" x14ac:dyDescent="0.25">
      <c r="A60" s="104" t="s">
        <v>53</v>
      </c>
      <c r="B60" s="99"/>
      <c r="C60" s="100">
        <v>6673992</v>
      </c>
      <c r="D60" s="101"/>
      <c r="E60" s="101"/>
      <c r="F60" s="102">
        <f t="shared" si="172"/>
        <v>6840841.7999999998</v>
      </c>
      <c r="G60" s="102">
        <f t="shared" si="173"/>
        <v>7011862.8449999988</v>
      </c>
      <c r="H60" s="102">
        <f t="shared" ref="H60:S60" si="178">G60*(1+$D$3)</f>
        <v>7187159.4161249986</v>
      </c>
      <c r="I60" s="102">
        <f t="shared" si="178"/>
        <v>7366838.4015281228</v>
      </c>
      <c r="J60" s="102">
        <f t="shared" si="178"/>
        <v>7551009.3615663256</v>
      </c>
      <c r="K60" s="102">
        <f t="shared" si="178"/>
        <v>7739784.5956054833</v>
      </c>
      <c r="L60" s="102">
        <f t="shared" si="178"/>
        <v>7933279.21049562</v>
      </c>
      <c r="M60" s="102">
        <f t="shared" si="178"/>
        <v>8131611.1907580094</v>
      </c>
      <c r="N60" s="102">
        <f t="shared" si="178"/>
        <v>8334901.4705269588</v>
      </c>
      <c r="O60" s="102">
        <f t="shared" si="178"/>
        <v>8543274.0072901323</v>
      </c>
      <c r="P60" s="102">
        <f t="shared" si="178"/>
        <v>8756855.8574723843</v>
      </c>
      <c r="Q60" s="102">
        <f t="shared" si="178"/>
        <v>8975777.253909193</v>
      </c>
      <c r="R60" s="102">
        <f t="shared" si="178"/>
        <v>9200171.6852569226</v>
      </c>
      <c r="S60" s="102">
        <f t="shared" si="178"/>
        <v>9430175.9773883447</v>
      </c>
      <c r="T60" s="102">
        <f t="shared" si="175"/>
        <v>9665930.3768230528</v>
      </c>
      <c r="U60" s="101"/>
    </row>
    <row r="61" spans="1:21" s="97" customFormat="1" x14ac:dyDescent="0.25">
      <c r="A61" s="88" t="s">
        <v>54</v>
      </c>
      <c r="B61" s="91"/>
      <c r="C61" s="89">
        <v>6467626</v>
      </c>
      <c r="D61" s="95"/>
      <c r="E61" s="95"/>
      <c r="F61" s="96">
        <f t="shared" si="172"/>
        <v>6629316.6499999994</v>
      </c>
      <c r="G61" s="96">
        <f t="shared" si="173"/>
        <v>6795049.5662499992</v>
      </c>
      <c r="H61" s="96">
        <f t="shared" ref="H61:S61" si="179">G61*(1+$D$3)</f>
        <v>6964925.8054062482</v>
      </c>
      <c r="I61" s="96">
        <f t="shared" si="179"/>
        <v>7139048.9505414041</v>
      </c>
      <c r="J61" s="96">
        <f t="shared" si="179"/>
        <v>7317525.1743049389</v>
      </c>
      <c r="K61" s="96">
        <f t="shared" si="179"/>
        <v>7500463.3036625618</v>
      </c>
      <c r="L61" s="96">
        <f t="shared" si="179"/>
        <v>7687974.8862541253</v>
      </c>
      <c r="M61" s="96">
        <f t="shared" si="179"/>
        <v>7880174.258410478</v>
      </c>
      <c r="N61" s="96">
        <f t="shared" si="179"/>
        <v>8077178.6148707392</v>
      </c>
      <c r="O61" s="96">
        <f t="shared" si="179"/>
        <v>8279108.0802425072</v>
      </c>
      <c r="P61" s="96">
        <f t="shared" si="179"/>
        <v>8486085.7822485697</v>
      </c>
      <c r="Q61" s="96">
        <f t="shared" si="179"/>
        <v>8698237.9268047828</v>
      </c>
      <c r="R61" s="96">
        <f t="shared" si="179"/>
        <v>8915693.8749749009</v>
      </c>
      <c r="S61" s="96">
        <f t="shared" si="179"/>
        <v>9138586.221849272</v>
      </c>
      <c r="T61" s="96">
        <f t="shared" si="175"/>
        <v>9367050.8773955032</v>
      </c>
      <c r="U61" s="95"/>
    </row>
    <row r="62" spans="1:21" s="103" customFormat="1" x14ac:dyDescent="0.25">
      <c r="A62" s="104" t="s">
        <v>55</v>
      </c>
      <c r="B62" s="99"/>
      <c r="C62" s="100">
        <v>12811709.396322623</v>
      </c>
      <c r="D62" s="101"/>
      <c r="E62" s="101"/>
      <c r="F62" s="102">
        <f t="shared" si="172"/>
        <v>13132002.131230688</v>
      </c>
      <c r="G62" s="102">
        <f t="shared" si="173"/>
        <v>13460302.184511453</v>
      </c>
      <c r="H62" s="102">
        <f t="shared" ref="H62:S62" si="180">G62*(1+$D$3)</f>
        <v>13796809.739124238</v>
      </c>
      <c r="I62" s="102">
        <f t="shared" si="180"/>
        <v>14141729.982602343</v>
      </c>
      <c r="J62" s="102">
        <f t="shared" si="180"/>
        <v>14495273.2321674</v>
      </c>
      <c r="K62" s="102">
        <f t="shared" si="180"/>
        <v>14857655.062971584</v>
      </c>
      <c r="L62" s="102">
        <f t="shared" si="180"/>
        <v>15229096.439545874</v>
      </c>
      <c r="M62" s="102">
        <f t="shared" si="180"/>
        <v>15609823.850534519</v>
      </c>
      <c r="N62" s="102">
        <f t="shared" si="180"/>
        <v>16000069.446797881</v>
      </c>
      <c r="O62" s="102">
        <f t="shared" si="180"/>
        <v>16400071.182967827</v>
      </c>
      <c r="P62" s="102">
        <f t="shared" si="180"/>
        <v>16810072.96254202</v>
      </c>
      <c r="Q62" s="102">
        <f t="shared" si="180"/>
        <v>17230324.78660557</v>
      </c>
      <c r="R62" s="102">
        <f t="shared" si="180"/>
        <v>17661082.906270709</v>
      </c>
      <c r="S62" s="102">
        <f t="shared" si="180"/>
        <v>18102609.978927474</v>
      </c>
      <c r="T62" s="102">
        <f t="shared" si="175"/>
        <v>18555175.228400659</v>
      </c>
      <c r="U62" s="101"/>
    </row>
    <row r="63" spans="1:21" s="97" customFormat="1" x14ac:dyDescent="0.25">
      <c r="A63" s="88" t="s">
        <v>56</v>
      </c>
      <c r="B63" s="91"/>
      <c r="C63" s="89">
        <v>16250864.855596723</v>
      </c>
      <c r="D63" s="95"/>
      <c r="E63" s="95"/>
      <c r="F63" s="96">
        <f t="shared" si="172"/>
        <v>16657136.476986639</v>
      </c>
      <c r="G63" s="96">
        <f t="shared" si="173"/>
        <v>17073564.888911303</v>
      </c>
      <c r="H63" s="96">
        <f t="shared" ref="H63:S63" si="181">G63*(1+$D$3)</f>
        <v>17500404.011134084</v>
      </c>
      <c r="I63" s="96">
        <f t="shared" si="181"/>
        <v>17937914.111412436</v>
      </c>
      <c r="J63" s="96">
        <f t="shared" si="181"/>
        <v>18386361.964197744</v>
      </c>
      <c r="K63" s="96">
        <f t="shared" si="181"/>
        <v>18846021.013302684</v>
      </c>
      <c r="L63" s="96">
        <f t="shared" si="181"/>
        <v>19317171.53863525</v>
      </c>
      <c r="M63" s="96">
        <f t="shared" si="181"/>
        <v>19800100.82710113</v>
      </c>
      <c r="N63" s="96">
        <f t="shared" si="181"/>
        <v>20295103.347778656</v>
      </c>
      <c r="O63" s="96">
        <f t="shared" si="181"/>
        <v>20802480.931473121</v>
      </c>
      <c r="P63" s="96">
        <f t="shared" si="181"/>
        <v>21322542.954759948</v>
      </c>
      <c r="Q63" s="96">
        <f t="shared" si="181"/>
        <v>21855606.528628945</v>
      </c>
      <c r="R63" s="96">
        <f t="shared" si="181"/>
        <v>22401996.691844668</v>
      </c>
      <c r="S63" s="96">
        <f t="shared" si="181"/>
        <v>22962046.609140784</v>
      </c>
      <c r="T63" s="96">
        <f t="shared" si="175"/>
        <v>23536097.774369299</v>
      </c>
      <c r="U63" s="95"/>
    </row>
    <row r="64" spans="1:21" s="103" customFormat="1" x14ac:dyDescent="0.25">
      <c r="A64" s="104" t="s">
        <v>57</v>
      </c>
      <c r="B64" s="99"/>
      <c r="C64" s="100">
        <v>10449889.797556631</v>
      </c>
      <c r="D64" s="101"/>
      <c r="E64" s="101"/>
      <c r="F64" s="102">
        <f t="shared" si="172"/>
        <v>10711137.042495547</v>
      </c>
      <c r="G64" s="102">
        <f t="shared" si="173"/>
        <v>10978915.468557935</v>
      </c>
      <c r="H64" s="102">
        <f t="shared" ref="H64:S64" si="182">G64*(1+$D$3)</f>
        <v>11253388.355271883</v>
      </c>
      <c r="I64" s="102">
        <f t="shared" si="182"/>
        <v>11534723.064153679</v>
      </c>
      <c r="J64" s="102">
        <f t="shared" si="182"/>
        <v>11823091.14075752</v>
      </c>
      <c r="K64" s="102">
        <f t="shared" si="182"/>
        <v>12118668.419276457</v>
      </c>
      <c r="L64" s="102">
        <f t="shared" si="182"/>
        <v>12421635.129758367</v>
      </c>
      <c r="M64" s="102">
        <f t="shared" si="182"/>
        <v>12732176.008002326</v>
      </c>
      <c r="N64" s="102">
        <f t="shared" si="182"/>
        <v>13050480.408202384</v>
      </c>
      <c r="O64" s="102">
        <f t="shared" si="182"/>
        <v>13376742.418407442</v>
      </c>
      <c r="P64" s="102">
        <f t="shared" si="182"/>
        <v>13711160.978867628</v>
      </c>
      <c r="Q64" s="102">
        <f t="shared" si="182"/>
        <v>14053940.003339317</v>
      </c>
      <c r="R64" s="102">
        <f t="shared" si="182"/>
        <v>14405288.503422799</v>
      </c>
      <c r="S64" s="102">
        <f t="shared" si="182"/>
        <v>14765420.716008367</v>
      </c>
      <c r="T64" s="102">
        <f t="shared" si="175"/>
        <v>15134556.233908575</v>
      </c>
      <c r="U64" s="101"/>
    </row>
    <row r="65" spans="1:21" s="97" customFormat="1" x14ac:dyDescent="0.25">
      <c r="A65" s="88" t="s">
        <v>64</v>
      </c>
      <c r="B65" s="91"/>
      <c r="C65" s="89">
        <v>8782229.5470682736</v>
      </c>
      <c r="D65" s="95"/>
      <c r="E65" s="95"/>
      <c r="F65" s="96">
        <f t="shared" si="172"/>
        <v>9001785.28574498</v>
      </c>
      <c r="G65" s="96">
        <f t="shared" si="173"/>
        <v>9226829.9178886041</v>
      </c>
      <c r="H65" s="96">
        <f t="shared" ref="H65:S65" si="183">G65*(1+$D$3)</f>
        <v>9457500.6658358183</v>
      </c>
      <c r="I65" s="96">
        <f t="shared" si="183"/>
        <v>9693938.1824817136</v>
      </c>
      <c r="J65" s="96">
        <f t="shared" si="183"/>
        <v>9936286.6370437555</v>
      </c>
      <c r="K65" s="96">
        <f t="shared" si="183"/>
        <v>10184693.802969849</v>
      </c>
      <c r="L65" s="96">
        <f t="shared" si="183"/>
        <v>10439311.148044094</v>
      </c>
      <c r="M65" s="96">
        <f t="shared" si="183"/>
        <v>10700293.926745197</v>
      </c>
      <c r="N65" s="96">
        <f t="shared" si="183"/>
        <v>10967801.274913825</v>
      </c>
      <c r="O65" s="96">
        <f t="shared" si="183"/>
        <v>11241996.306786669</v>
      </c>
      <c r="P65" s="96">
        <f t="shared" si="183"/>
        <v>11523046.214456335</v>
      </c>
      <c r="Q65" s="96">
        <f t="shared" si="183"/>
        <v>11811122.369817741</v>
      </c>
      <c r="R65" s="96">
        <f t="shared" si="183"/>
        <v>12106400.429063184</v>
      </c>
      <c r="S65" s="96">
        <f t="shared" si="183"/>
        <v>12409060.439789763</v>
      </c>
      <c r="T65" s="96">
        <f t="shared" si="175"/>
        <v>12719286.950784506</v>
      </c>
      <c r="U65" s="95"/>
    </row>
    <row r="66" spans="1:21" s="103" customFormat="1" x14ac:dyDescent="0.25">
      <c r="A66" s="98" t="s">
        <v>63</v>
      </c>
      <c r="B66" s="99"/>
      <c r="C66" s="100">
        <v>41919328.70080024</v>
      </c>
      <c r="D66" s="101"/>
      <c r="E66" s="101"/>
      <c r="F66" s="102">
        <f t="shared" si="172"/>
        <v>42967311.918320246</v>
      </c>
      <c r="G66" s="102">
        <f t="shared" si="173"/>
        <v>44041494.716278248</v>
      </c>
      <c r="H66" s="102">
        <f t="shared" ref="H66:S66" si="184">G66*(1+$D$3)</f>
        <v>45142532.084185198</v>
      </c>
      <c r="I66" s="102">
        <f t="shared" si="184"/>
        <v>46271095.386289828</v>
      </c>
      <c r="J66" s="102">
        <f t="shared" si="184"/>
        <v>47427872.770947069</v>
      </c>
      <c r="K66" s="102">
        <f t="shared" si="184"/>
        <v>48613569.590220742</v>
      </c>
      <c r="L66" s="102">
        <f t="shared" si="184"/>
        <v>49828908.829976253</v>
      </c>
      <c r="M66" s="102">
        <f t="shared" si="184"/>
        <v>51074631.550725654</v>
      </c>
      <c r="N66" s="102">
        <f t="shared" si="184"/>
        <v>52351497.339493789</v>
      </c>
      <c r="O66" s="102">
        <f t="shared" si="184"/>
        <v>53660284.77298113</v>
      </c>
      <c r="P66" s="102">
        <f t="shared" si="184"/>
        <v>55001791.89230565</v>
      </c>
      <c r="Q66" s="102">
        <f t="shared" si="184"/>
        <v>56376836.689613283</v>
      </c>
      <c r="R66" s="102">
        <f t="shared" si="184"/>
        <v>57786257.606853612</v>
      </c>
      <c r="S66" s="102">
        <f t="shared" si="184"/>
        <v>59230914.04702495</v>
      </c>
      <c r="T66" s="102">
        <f t="shared" si="175"/>
        <v>60711686.898200572</v>
      </c>
      <c r="U66" s="101"/>
    </row>
    <row r="67" spans="1:21" s="97" customFormat="1" x14ac:dyDescent="0.25">
      <c r="A67" s="94" t="s">
        <v>58</v>
      </c>
      <c r="B67" s="91"/>
      <c r="C67" s="89">
        <v>6503874.9769045943</v>
      </c>
      <c r="D67" s="95"/>
      <c r="E67" s="95"/>
      <c r="F67" s="96">
        <f t="shared" si="172"/>
        <v>6666471.8513272088</v>
      </c>
      <c r="G67" s="96">
        <f t="shared" si="173"/>
        <v>6833133.6476103887</v>
      </c>
      <c r="H67" s="96">
        <f t="shared" ref="H67:S67" si="185">G67*(1+$D$3)</f>
        <v>7003961.9888006477</v>
      </c>
      <c r="I67" s="96">
        <f t="shared" si="185"/>
        <v>7179061.038520663</v>
      </c>
      <c r="J67" s="96">
        <f t="shared" si="185"/>
        <v>7358537.5644836789</v>
      </c>
      <c r="K67" s="96">
        <f t="shared" si="185"/>
        <v>7542501.0035957703</v>
      </c>
      <c r="L67" s="96">
        <f t="shared" si="185"/>
        <v>7731063.5286856638</v>
      </c>
      <c r="M67" s="96">
        <f t="shared" si="185"/>
        <v>7924340.1169028049</v>
      </c>
      <c r="N67" s="96">
        <f t="shared" si="185"/>
        <v>8122448.6198253743</v>
      </c>
      <c r="O67" s="96">
        <f t="shared" si="185"/>
        <v>8325509.8353210082</v>
      </c>
      <c r="P67" s="96">
        <f t="shared" si="185"/>
        <v>8533647.5812040325</v>
      </c>
      <c r="Q67" s="96">
        <f t="shared" si="185"/>
        <v>8746988.7707341332</v>
      </c>
      <c r="R67" s="96">
        <f t="shared" si="185"/>
        <v>8965663.490002485</v>
      </c>
      <c r="S67" s="96">
        <f t="shared" si="185"/>
        <v>9189805.0772525463</v>
      </c>
      <c r="T67" s="96">
        <f t="shared" si="175"/>
        <v>9419550.2041838598</v>
      </c>
      <c r="U67" s="95"/>
    </row>
    <row r="68" spans="1:21" s="103" customFormat="1" x14ac:dyDescent="0.25">
      <c r="A68" s="98" t="s">
        <v>65</v>
      </c>
      <c r="B68" s="99"/>
      <c r="C68" s="100">
        <v>4335916.6512697292</v>
      </c>
      <c r="D68" s="101"/>
      <c r="E68" s="101"/>
      <c r="F68" s="102">
        <f t="shared" si="172"/>
        <v>4444314.5675514722</v>
      </c>
      <c r="G68" s="102">
        <f t="shared" si="173"/>
        <v>4555422.4317402588</v>
      </c>
      <c r="H68" s="102">
        <f t="shared" ref="H68:S68" si="186">G68*(1+$D$3)</f>
        <v>4669307.9925337648</v>
      </c>
      <c r="I68" s="102">
        <f t="shared" si="186"/>
        <v>4786040.6923471084</v>
      </c>
      <c r="J68" s="102">
        <f t="shared" si="186"/>
        <v>4905691.7096557859</v>
      </c>
      <c r="K68" s="102">
        <f t="shared" si="186"/>
        <v>5028334.0023971805</v>
      </c>
      <c r="L68" s="102">
        <f t="shared" si="186"/>
        <v>5154042.3524571098</v>
      </c>
      <c r="M68" s="102">
        <f t="shared" si="186"/>
        <v>5282893.4112685369</v>
      </c>
      <c r="N68" s="102">
        <f t="shared" si="186"/>
        <v>5414965.7465502499</v>
      </c>
      <c r="O68" s="102">
        <f t="shared" si="186"/>
        <v>5550339.8902140055</v>
      </c>
      <c r="P68" s="102">
        <f t="shared" si="186"/>
        <v>5689098.387469355</v>
      </c>
      <c r="Q68" s="102">
        <f t="shared" si="186"/>
        <v>5831325.8471560888</v>
      </c>
      <c r="R68" s="102">
        <f t="shared" si="186"/>
        <v>5977108.9933349909</v>
      </c>
      <c r="S68" s="102">
        <f t="shared" si="186"/>
        <v>6126536.7181683648</v>
      </c>
      <c r="T68" s="102">
        <f t="shared" si="175"/>
        <v>6279700.1361225732</v>
      </c>
      <c r="U68" s="101"/>
    </row>
    <row r="69" spans="1:21" s="97" customFormat="1" x14ac:dyDescent="0.25">
      <c r="A69" s="94" t="s">
        <v>59</v>
      </c>
      <c r="B69" s="91"/>
      <c r="C69" s="89">
        <v>2167958.3256348646</v>
      </c>
      <c r="D69" s="95"/>
      <c r="E69" s="95"/>
      <c r="F69" s="96">
        <f t="shared" si="172"/>
        <v>2222157.2837757361</v>
      </c>
      <c r="G69" s="96">
        <f t="shared" si="173"/>
        <v>2277711.2158701294</v>
      </c>
      <c r="H69" s="96">
        <f t="shared" ref="H69:S69" si="187">G69*(1+$D$3)</f>
        <v>2334653.9962668824</v>
      </c>
      <c r="I69" s="96">
        <f t="shared" si="187"/>
        <v>2393020.3461735542</v>
      </c>
      <c r="J69" s="96">
        <f t="shared" si="187"/>
        <v>2452845.854827893</v>
      </c>
      <c r="K69" s="96">
        <f t="shared" si="187"/>
        <v>2514167.0011985903</v>
      </c>
      <c r="L69" s="96">
        <f t="shared" si="187"/>
        <v>2577021.1762285549</v>
      </c>
      <c r="M69" s="96">
        <f t="shared" si="187"/>
        <v>2641446.7056342685</v>
      </c>
      <c r="N69" s="96">
        <f t="shared" si="187"/>
        <v>2707482.8732751249</v>
      </c>
      <c r="O69" s="96">
        <f t="shared" si="187"/>
        <v>2775169.9451070027</v>
      </c>
      <c r="P69" s="96">
        <f t="shared" si="187"/>
        <v>2844549.1937346775</v>
      </c>
      <c r="Q69" s="96">
        <f t="shared" si="187"/>
        <v>2915662.9235780444</v>
      </c>
      <c r="R69" s="96">
        <f t="shared" si="187"/>
        <v>2988554.4966674955</v>
      </c>
      <c r="S69" s="96">
        <f t="shared" si="187"/>
        <v>3063268.3590841824</v>
      </c>
      <c r="T69" s="96">
        <f t="shared" si="175"/>
        <v>3139850.0680612866</v>
      </c>
      <c r="U69" s="95"/>
    </row>
    <row r="70" spans="1:21" s="103" customFormat="1" x14ac:dyDescent="0.25">
      <c r="A70" s="98" t="s">
        <v>60</v>
      </c>
      <c r="B70" s="99"/>
      <c r="C70" s="100">
        <v>8756453.065444801</v>
      </c>
      <c r="D70" s="101"/>
      <c r="E70" s="101"/>
      <c r="F70" s="102">
        <f t="shared" si="172"/>
        <v>8975364.3920809198</v>
      </c>
      <c r="G70" s="102">
        <f t="shared" si="173"/>
        <v>9199748.5018829424</v>
      </c>
      <c r="H70" s="102">
        <f t="shared" ref="H70:S71" si="188">G70*(1+$D$3)</f>
        <v>9429742.2144300155</v>
      </c>
      <c r="I70" s="102">
        <f t="shared" si="188"/>
        <v>9665485.7697907649</v>
      </c>
      <c r="J70" s="102">
        <f t="shared" si="188"/>
        <v>9907122.9140355326</v>
      </c>
      <c r="K70" s="102">
        <f t="shared" si="188"/>
        <v>10154800.986886419</v>
      </c>
      <c r="L70" s="102">
        <f t="shared" si="188"/>
        <v>10408671.011558579</v>
      </c>
      <c r="M70" s="102">
        <f t="shared" si="188"/>
        <v>10668887.786847543</v>
      </c>
      <c r="N70" s="102">
        <f t="shared" si="188"/>
        <v>10935609.981518731</v>
      </c>
      <c r="O70" s="102">
        <f t="shared" si="188"/>
        <v>11209000.231056698</v>
      </c>
      <c r="P70" s="102">
        <f t="shared" si="188"/>
        <v>11489225.236833114</v>
      </c>
      <c r="Q70" s="102">
        <f t="shared" si="188"/>
        <v>11776455.867753942</v>
      </c>
      <c r="R70" s="102">
        <f t="shared" si="188"/>
        <v>12070867.26444779</v>
      </c>
      <c r="S70" s="102">
        <f t="shared" si="188"/>
        <v>12372638.946058983</v>
      </c>
      <c r="T70" s="102">
        <f t="shared" si="175"/>
        <v>12681954.919710457</v>
      </c>
      <c r="U70" s="101"/>
    </row>
    <row r="71" spans="1:21" s="97" customFormat="1" x14ac:dyDescent="0.25">
      <c r="A71" s="94" t="s">
        <v>86</v>
      </c>
      <c r="B71" s="89"/>
      <c r="C71" s="89">
        <v>141463.41463414635</v>
      </c>
      <c r="D71" s="95"/>
      <c r="E71" s="95"/>
      <c r="F71" s="96">
        <v>145000</v>
      </c>
      <c r="G71" s="96">
        <f t="shared" si="173"/>
        <v>148625</v>
      </c>
      <c r="H71" s="96">
        <f t="shared" si="188"/>
        <v>152340.625</v>
      </c>
      <c r="I71" s="96">
        <f t="shared" si="188"/>
        <v>156149.140625</v>
      </c>
      <c r="J71" s="96">
        <f t="shared" si="188"/>
        <v>160052.869140625</v>
      </c>
      <c r="K71" s="96">
        <f t="shared" si="188"/>
        <v>164054.19086914061</v>
      </c>
      <c r="L71" s="96">
        <f t="shared" si="188"/>
        <v>168155.54564086912</v>
      </c>
      <c r="M71" s="96">
        <f t="shared" si="188"/>
        <v>172359.43428189083</v>
      </c>
      <c r="N71" s="96">
        <f t="shared" si="188"/>
        <v>176668.42013893809</v>
      </c>
      <c r="O71" s="96">
        <f t="shared" si="188"/>
        <v>181085.13064241153</v>
      </c>
      <c r="P71" s="96">
        <f t="shared" si="188"/>
        <v>185612.25890847179</v>
      </c>
      <c r="Q71" s="96">
        <f t="shared" si="188"/>
        <v>190252.56538118358</v>
      </c>
      <c r="R71" s="96">
        <f t="shared" si="188"/>
        <v>195008.87951571314</v>
      </c>
      <c r="S71" s="96">
        <f t="shared" si="188"/>
        <v>199884.10150360595</v>
      </c>
      <c r="T71" s="96">
        <f t="shared" si="175"/>
        <v>204881.20404119609</v>
      </c>
      <c r="U71" s="95"/>
    </row>
    <row r="72" spans="1:21" s="103" customFormat="1" x14ac:dyDescent="0.25">
      <c r="A72" s="98" t="s">
        <v>87</v>
      </c>
      <c r="B72" s="99"/>
      <c r="C72" s="100">
        <v>7073170.7317073178</v>
      </c>
      <c r="D72" s="101"/>
      <c r="E72" s="101"/>
      <c r="F72" s="102">
        <v>7250000</v>
      </c>
      <c r="G72" s="102">
        <f t="shared" si="173"/>
        <v>7431249.9999999991</v>
      </c>
      <c r="H72" s="102">
        <f t="shared" si="173"/>
        <v>7617031.2499999981</v>
      </c>
      <c r="I72" s="102">
        <f t="shared" si="173"/>
        <v>7807457.0312499972</v>
      </c>
      <c r="J72" s="102">
        <f t="shared" si="173"/>
        <v>8002643.4570312463</v>
      </c>
      <c r="K72" s="102">
        <f t="shared" si="173"/>
        <v>8202709.5434570266</v>
      </c>
      <c r="L72" s="102">
        <f t="shared" si="173"/>
        <v>8407777.2820434514</v>
      </c>
      <c r="M72" s="102">
        <f t="shared" si="173"/>
        <v>8617971.7140945364</v>
      </c>
      <c r="N72" s="102">
        <f t="shared" si="173"/>
        <v>8833421.006946899</v>
      </c>
      <c r="O72" s="102">
        <f t="shared" si="173"/>
        <v>9054256.5321205705</v>
      </c>
      <c r="P72" s="102">
        <f t="shared" si="173"/>
        <v>9280612.9454235844</v>
      </c>
      <c r="Q72" s="102">
        <f t="shared" si="173"/>
        <v>9512628.2690591738</v>
      </c>
      <c r="R72" s="102">
        <f t="shared" si="173"/>
        <v>9750443.9757856522</v>
      </c>
      <c r="S72" s="102">
        <f t="shared" si="173"/>
        <v>9994205.0751802921</v>
      </c>
      <c r="T72" s="102">
        <f t="shared" si="173"/>
        <v>10244060.202059798</v>
      </c>
      <c r="U72" s="101"/>
    </row>
    <row r="73" spans="1:21" s="97" customFormat="1" x14ac:dyDescent="0.25">
      <c r="A73" s="94" t="s">
        <v>88</v>
      </c>
      <c r="B73" s="89"/>
      <c r="C73" s="89">
        <v>487804.87804878055</v>
      </c>
      <c r="D73" s="95"/>
      <c r="E73" s="95"/>
      <c r="F73" s="96">
        <v>500000</v>
      </c>
      <c r="G73" s="96">
        <f t="shared" si="173"/>
        <v>512499.99999999994</v>
      </c>
      <c r="H73" s="96">
        <f t="shared" si="173"/>
        <v>525312.49999999988</v>
      </c>
      <c r="I73" s="96">
        <f t="shared" si="173"/>
        <v>538445.31249999988</v>
      </c>
      <c r="J73" s="96">
        <f t="shared" si="173"/>
        <v>551906.44531249988</v>
      </c>
      <c r="K73" s="96">
        <f t="shared" si="173"/>
        <v>565704.10644531238</v>
      </c>
      <c r="L73" s="96">
        <f t="shared" si="173"/>
        <v>579846.7091064452</v>
      </c>
      <c r="M73" s="96">
        <f t="shared" si="173"/>
        <v>594342.87683410628</v>
      </c>
      <c r="N73" s="96">
        <f t="shared" si="173"/>
        <v>609201.44875495892</v>
      </c>
      <c r="O73" s="96">
        <f t="shared" si="173"/>
        <v>624431.48497383285</v>
      </c>
      <c r="P73" s="96">
        <f t="shared" si="173"/>
        <v>640042.27209817863</v>
      </c>
      <c r="Q73" s="96">
        <f t="shared" si="173"/>
        <v>656043.32890063303</v>
      </c>
      <c r="R73" s="96">
        <f t="shared" si="173"/>
        <v>672444.4121231488</v>
      </c>
      <c r="S73" s="96">
        <f t="shared" si="173"/>
        <v>689255.52242622746</v>
      </c>
      <c r="T73" s="96">
        <f t="shared" si="173"/>
        <v>706486.91048688313</v>
      </c>
      <c r="U73" s="95"/>
    </row>
  </sheetData>
  <mergeCells count="2">
    <mergeCell ref="B5:C5"/>
    <mergeCell ref="D5:E5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zoomScale="70" zoomScaleNormal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3.85546875" bestFit="1" customWidth="1"/>
    <col min="2" max="2" width="11.5703125" bestFit="1" customWidth="1"/>
    <col min="3" max="3" width="4.28515625" customWidth="1"/>
    <col min="4" max="4" width="18.7109375" customWidth="1"/>
    <col min="5" max="5" width="25.710937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1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1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1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1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1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1" x14ac:dyDescent="0.25">
      <c r="A6" s="1" t="s">
        <v>0</v>
      </c>
      <c r="B6" s="1"/>
      <c r="C6" s="1"/>
      <c r="D6" s="3">
        <f>NPV($B$2,G6:J6)+F6</f>
        <v>29295772.685614686</v>
      </c>
      <c r="E6" s="3">
        <f>NPV($B$2,G6:T6)+F6</f>
        <v>191041031.13867536</v>
      </c>
      <c r="F6" s="3">
        <v>2784207.75</v>
      </c>
      <c r="G6" s="3">
        <v>3941364.77</v>
      </c>
      <c r="H6" s="3">
        <v>5882444.3099999996</v>
      </c>
      <c r="I6" s="3">
        <v>8491408.9800000004</v>
      </c>
      <c r="J6" s="3">
        <v>13508407.34</v>
      </c>
      <c r="K6" s="3">
        <v>16944559.32</v>
      </c>
      <c r="L6" s="3">
        <v>17458854.210000001</v>
      </c>
      <c r="M6" s="3">
        <v>22339013.989999998</v>
      </c>
      <c r="N6" s="3">
        <v>28976674.899999999</v>
      </c>
      <c r="O6" s="3">
        <v>35426939.979999997</v>
      </c>
      <c r="P6" s="3">
        <v>35426939.979999997</v>
      </c>
      <c r="Q6" s="3">
        <v>35426939.979999997</v>
      </c>
      <c r="R6" s="3">
        <v>35426939.979999997</v>
      </c>
      <c r="S6" s="3">
        <v>35426939.979999997</v>
      </c>
      <c r="T6" s="3">
        <v>35426939.979999997</v>
      </c>
    </row>
    <row r="7" spans="1:21" x14ac:dyDescent="0.25">
      <c r="A7" s="1" t="s">
        <v>33</v>
      </c>
      <c r="B7" s="1"/>
      <c r="C7" s="1"/>
      <c r="D7" s="3">
        <f t="shared" ref="D7:D9" si="0">NPV($B$2,G7:J7)+F7</f>
        <v>0</v>
      </c>
      <c r="E7" s="3">
        <f>NPV($B$2,G7:T7)+F7</f>
        <v>0</v>
      </c>
      <c r="F7" s="4">
        <f>F$6-F6</f>
        <v>0</v>
      </c>
      <c r="G7" s="4">
        <f t="shared" ref="G7" si="1">G$6-G6</f>
        <v>0</v>
      </c>
      <c r="H7" s="4">
        <f t="shared" ref="H7" si="2">H$6-H6</f>
        <v>0</v>
      </c>
      <c r="I7" s="4">
        <f t="shared" ref="I7" si="3">I$6-I6</f>
        <v>0</v>
      </c>
      <c r="J7" s="4">
        <f t="shared" ref="J7" si="4">J$6-J6</f>
        <v>0</v>
      </c>
      <c r="K7" s="4">
        <f t="shared" ref="K7" si="5">K$6-K6</f>
        <v>0</v>
      </c>
      <c r="L7" s="4">
        <f t="shared" ref="L7" si="6">L$6-L6</f>
        <v>0</v>
      </c>
      <c r="M7" s="4">
        <f t="shared" ref="M7" si="7">M$6-M6</f>
        <v>0</v>
      </c>
      <c r="N7" s="4">
        <f t="shared" ref="N7" si="8">N$6-N6</f>
        <v>0</v>
      </c>
      <c r="O7" s="4">
        <f t="shared" ref="O7" si="9">O$6-O6</f>
        <v>0</v>
      </c>
      <c r="P7" s="4">
        <f t="shared" ref="P7" si="10">P$6-P6</f>
        <v>0</v>
      </c>
      <c r="Q7" s="4">
        <f t="shared" ref="Q7" si="11">Q$6-Q6</f>
        <v>0</v>
      </c>
      <c r="R7" s="4">
        <f t="shared" ref="R7" si="12">R$6-R6</f>
        <v>0</v>
      </c>
      <c r="S7" s="4">
        <f t="shared" ref="S7" si="13">S$6-S6</f>
        <v>0</v>
      </c>
      <c r="T7" s="4">
        <f t="shared" ref="T7" si="14">T$6-T6</f>
        <v>0</v>
      </c>
    </row>
    <row r="8" spans="1:21" x14ac:dyDescent="0.25">
      <c r="A8" s="1" t="s">
        <v>34</v>
      </c>
      <c r="B8" s="1"/>
      <c r="C8" s="1"/>
      <c r="D8" s="3">
        <f t="shared" si="0"/>
        <v>0</v>
      </c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/>
    </row>
    <row r="9" spans="1:21" x14ac:dyDescent="0.25">
      <c r="A9" s="1" t="s">
        <v>35</v>
      </c>
      <c r="D9" s="3">
        <f t="shared" si="0"/>
        <v>0</v>
      </c>
      <c r="E9" s="4">
        <f>E7-E8</f>
        <v>0</v>
      </c>
    </row>
    <row r="10" spans="1:21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1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1" x14ac:dyDescent="0.25">
      <c r="A12" s="1" t="s">
        <v>0</v>
      </c>
      <c r="B12" s="1"/>
      <c r="C12" s="1"/>
      <c r="D12" s="3">
        <f>NPV($B$2,G12:J12)+F12</f>
        <v>6489542.6846620291</v>
      </c>
      <c r="E12" s="3">
        <f>NPV($B$2,G12:T12)+F12</f>
        <v>6489542.6846620291</v>
      </c>
      <c r="F12" s="3">
        <v>2784207.75</v>
      </c>
      <c r="G12" s="3">
        <v>3941364.77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</row>
    <row r="13" spans="1:21" x14ac:dyDescent="0.25">
      <c r="A13" s="1" t="s">
        <v>33</v>
      </c>
      <c r="B13" s="1"/>
      <c r="C13" s="1"/>
      <c r="D13" s="3">
        <f t="shared" ref="D13:D15" si="15">NPV($B$2,G13:J13)+F13</f>
        <v>22806230.000952661</v>
      </c>
      <c r="E13" s="3">
        <f>NPV($B$2,G13:T13)+F13</f>
        <v>184551488.45401335</v>
      </c>
      <c r="F13" s="4">
        <f>F$6-F12</f>
        <v>0</v>
      </c>
      <c r="G13" s="4">
        <f t="shared" ref="G13:T13" si="16">G$6-G12</f>
        <v>0</v>
      </c>
      <c r="H13" s="4">
        <f t="shared" si="16"/>
        <v>5882444.3099999996</v>
      </c>
      <c r="I13" s="4">
        <f t="shared" si="16"/>
        <v>8491408.9800000004</v>
      </c>
      <c r="J13" s="4">
        <f t="shared" si="16"/>
        <v>13508407.34</v>
      </c>
      <c r="K13" s="4">
        <f t="shared" si="16"/>
        <v>16944559.32</v>
      </c>
      <c r="L13" s="4">
        <f t="shared" si="16"/>
        <v>17458854.210000001</v>
      </c>
      <c r="M13" s="4">
        <f t="shared" si="16"/>
        <v>22339013.989999998</v>
      </c>
      <c r="N13" s="4">
        <f t="shared" si="16"/>
        <v>28976674.899999999</v>
      </c>
      <c r="O13" s="4">
        <f t="shared" si="16"/>
        <v>35426939.979999997</v>
      </c>
      <c r="P13" s="4">
        <f t="shared" si="16"/>
        <v>35426939.979999997</v>
      </c>
      <c r="Q13" s="4">
        <f t="shared" si="16"/>
        <v>35426939.979999997</v>
      </c>
      <c r="R13" s="4">
        <f t="shared" si="16"/>
        <v>35426939.979999997</v>
      </c>
      <c r="S13" s="4">
        <f t="shared" si="16"/>
        <v>35426939.979999997</v>
      </c>
      <c r="T13" s="4">
        <f t="shared" si="16"/>
        <v>35426939.979999997</v>
      </c>
    </row>
    <row r="14" spans="1:21" x14ac:dyDescent="0.25">
      <c r="A14" s="1" t="s">
        <v>34</v>
      </c>
      <c r="B14" s="1"/>
      <c r="C14" s="1"/>
      <c r="D14" s="3">
        <f t="shared" si="15"/>
        <v>10228212.145960962</v>
      </c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1" x14ac:dyDescent="0.25">
      <c r="A15" s="1" t="s">
        <v>35</v>
      </c>
      <c r="D15" s="3">
        <f t="shared" si="15"/>
        <v>0</v>
      </c>
      <c r="E15" s="4">
        <f>E13-E14</f>
        <v>167844838.86920714</v>
      </c>
    </row>
    <row r="16" spans="1:21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>
        <f>NPV($B$2,G18:J18)+F18</f>
        <v>6489542.6846620291</v>
      </c>
      <c r="E18" s="3">
        <f>NPV($B$2,G18:T18)+F18</f>
        <v>6489542.6846620291</v>
      </c>
      <c r="F18" s="3">
        <v>2784207.75</v>
      </c>
      <c r="G18" s="3">
        <v>3941364.77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</row>
    <row r="19" spans="1:20" x14ac:dyDescent="0.25">
      <c r="A19" s="1" t="s">
        <v>33</v>
      </c>
      <c r="B19" s="1"/>
      <c r="C19" s="1"/>
      <c r="D19" s="3">
        <f t="shared" ref="D19:D21" si="17">NPV($B$2,G19:J19)+F19</f>
        <v>22806230.000952661</v>
      </c>
      <c r="E19" s="3">
        <f>NPV($B$2,G19:T19)+F19</f>
        <v>184551488.45401335</v>
      </c>
      <c r="F19" s="4">
        <f>F$6-F18</f>
        <v>0</v>
      </c>
      <c r="G19" s="4">
        <f t="shared" ref="G19" si="18">G$6-G18</f>
        <v>0</v>
      </c>
      <c r="H19" s="4">
        <f t="shared" ref="H19" si="19">H$6-H18</f>
        <v>5882444.3099999996</v>
      </c>
      <c r="I19" s="4">
        <f t="shared" ref="I19" si="20">I$6-I18</f>
        <v>8491408.9800000004</v>
      </c>
      <c r="J19" s="4">
        <f t="shared" ref="J19" si="21">J$6-J18</f>
        <v>13508407.34</v>
      </c>
      <c r="K19" s="4">
        <f t="shared" ref="K19" si="22">K$6-K18</f>
        <v>16944559.32</v>
      </c>
      <c r="L19" s="4">
        <f t="shared" ref="L19" si="23">L$6-L18</f>
        <v>17458854.210000001</v>
      </c>
      <c r="M19" s="4">
        <f t="shared" ref="M19" si="24">M$6-M18</f>
        <v>22339013.989999998</v>
      </c>
      <c r="N19" s="4">
        <f t="shared" ref="N19" si="25">N$6-N18</f>
        <v>28976674.899999999</v>
      </c>
      <c r="O19" s="4">
        <f t="shared" ref="O19" si="26">O$6-O18</f>
        <v>35426939.979999997</v>
      </c>
      <c r="P19" s="4">
        <f t="shared" ref="P19" si="27">P$6-P18</f>
        <v>35426939.979999997</v>
      </c>
      <c r="Q19" s="4">
        <f t="shared" ref="Q19" si="28">Q$6-Q18</f>
        <v>35426939.979999997</v>
      </c>
      <c r="R19" s="4">
        <f t="shared" ref="R19" si="29">R$6-R18</f>
        <v>35426939.979999997</v>
      </c>
      <c r="S19" s="4">
        <f t="shared" ref="S19" si="30">S$6-S18</f>
        <v>35426939.979999997</v>
      </c>
      <c r="T19" s="4">
        <f t="shared" ref="T19" si="31">T$6-T18</f>
        <v>35426939.979999997</v>
      </c>
    </row>
    <row r="20" spans="1:20" x14ac:dyDescent="0.25">
      <c r="A20" s="1" t="s">
        <v>34</v>
      </c>
      <c r="B20" s="1"/>
      <c r="C20" s="1"/>
      <c r="D20" s="3">
        <f t="shared" si="17"/>
        <v>6532413.9640599256</v>
      </c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D21" s="3">
        <f t="shared" si="17"/>
        <v>0</v>
      </c>
      <c r="E21" s="4">
        <f>E19-E20</f>
        <v>171951207.61118844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>
        <f>NPV($B$2,G24:J24)+F24</f>
        <v>6489542.6846620291</v>
      </c>
      <c r="E24" s="3">
        <f>NPV($B$2,G24:T24)+F24</f>
        <v>6489542.6846620291</v>
      </c>
      <c r="F24" s="3">
        <v>2784207.75</v>
      </c>
      <c r="G24" s="3">
        <v>3941364.77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</row>
    <row r="25" spans="1:20" x14ac:dyDescent="0.25">
      <c r="A25" s="1" t="s">
        <v>33</v>
      </c>
      <c r="B25" s="1"/>
      <c r="C25" s="1"/>
      <c r="D25" s="3">
        <f t="shared" ref="D25:D27" si="32">NPV($B$2,G25:J25)+F25</f>
        <v>22806230.000952661</v>
      </c>
      <c r="E25" s="3">
        <f>NPV($B$2,G25:T25)+F25</f>
        <v>184551488.45401335</v>
      </c>
      <c r="F25" s="4">
        <f>F$6-F24</f>
        <v>0</v>
      </c>
      <c r="G25" s="4">
        <f t="shared" ref="G25" si="33">G$6-G24</f>
        <v>0</v>
      </c>
      <c r="H25" s="4">
        <f t="shared" ref="H25" si="34">H$6-H24</f>
        <v>5882444.3099999996</v>
      </c>
      <c r="I25" s="4">
        <f t="shared" ref="I25" si="35">I$6-I24</f>
        <v>8491408.9800000004</v>
      </c>
      <c r="J25" s="4">
        <f t="shared" ref="J25" si="36">J$6-J24</f>
        <v>13508407.34</v>
      </c>
      <c r="K25" s="4">
        <f t="shared" ref="K25" si="37">K$6-K24</f>
        <v>16944559.32</v>
      </c>
      <c r="L25" s="4">
        <f t="shared" ref="L25" si="38">L$6-L24</f>
        <v>17458854.210000001</v>
      </c>
      <c r="M25" s="4">
        <f t="shared" ref="M25" si="39">M$6-M24</f>
        <v>22339013.989999998</v>
      </c>
      <c r="N25" s="4">
        <f t="shared" ref="N25" si="40">N$6-N24</f>
        <v>28976674.899999999</v>
      </c>
      <c r="O25" s="4">
        <f t="shared" ref="O25" si="41">O$6-O24</f>
        <v>35426939.979999997</v>
      </c>
      <c r="P25" s="4">
        <f t="shared" ref="P25" si="42">P$6-P24</f>
        <v>35426939.979999997</v>
      </c>
      <c r="Q25" s="4">
        <f t="shared" ref="Q25" si="43">Q$6-Q24</f>
        <v>35426939.979999997</v>
      </c>
      <c r="R25" s="4">
        <f t="shared" ref="R25" si="44">R$6-R24</f>
        <v>35426939.979999997</v>
      </c>
      <c r="S25" s="4">
        <f t="shared" ref="S25" si="45">S$6-S24</f>
        <v>35426939.979999997</v>
      </c>
      <c r="T25" s="4">
        <f t="shared" ref="T25" si="46">T$6-T24</f>
        <v>35426939.979999997</v>
      </c>
    </row>
    <row r="26" spans="1:20" x14ac:dyDescent="0.25">
      <c r="A26" s="1" t="s">
        <v>34</v>
      </c>
      <c r="B26" s="1"/>
      <c r="C26" s="1"/>
      <c r="D26" s="3">
        <f t="shared" si="32"/>
        <v>8595928.6329453904</v>
      </c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D27" s="3">
        <f t="shared" si="32"/>
        <v>0</v>
      </c>
      <c r="E27" s="4">
        <f>E25-E26</f>
        <v>167604133.70986468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>
        <f>NPV($B$2,G30:J30)+F30</f>
        <v>6489542.6846620291</v>
      </c>
      <c r="E30" s="3">
        <f>NPV($B$2,G30:T30)+F30</f>
        <v>6489542.6846620291</v>
      </c>
      <c r="F30" s="3">
        <v>2784207.75</v>
      </c>
      <c r="G30" s="3">
        <v>3941364.77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</row>
    <row r="31" spans="1:20" x14ac:dyDescent="0.25">
      <c r="A31" s="1" t="s">
        <v>33</v>
      </c>
      <c r="B31" s="1"/>
      <c r="C31" s="1"/>
      <c r="D31" s="3">
        <f t="shared" ref="D31:D33" si="47">NPV($B$2,G31:J31)+F31</f>
        <v>22806230.000952661</v>
      </c>
      <c r="E31" s="3">
        <f>NPV($B$2,G31:T31)+F31</f>
        <v>184551488.45401335</v>
      </c>
      <c r="F31" s="4">
        <f>F$6-F30</f>
        <v>0</v>
      </c>
      <c r="G31" s="4">
        <f t="shared" ref="G31" si="48">G$6-G30</f>
        <v>0</v>
      </c>
      <c r="H31" s="4">
        <f t="shared" ref="H31" si="49">H$6-H30</f>
        <v>5882444.3099999996</v>
      </c>
      <c r="I31" s="4">
        <f t="shared" ref="I31" si="50">I$6-I30</f>
        <v>8491408.9800000004</v>
      </c>
      <c r="J31" s="4">
        <f t="shared" ref="J31" si="51">J$6-J30</f>
        <v>13508407.34</v>
      </c>
      <c r="K31" s="4">
        <f t="shared" ref="K31" si="52">K$6-K30</f>
        <v>16944559.32</v>
      </c>
      <c r="L31" s="4">
        <f t="shared" ref="L31" si="53">L$6-L30</f>
        <v>17458854.210000001</v>
      </c>
      <c r="M31" s="4">
        <f t="shared" ref="M31" si="54">M$6-M30</f>
        <v>22339013.989999998</v>
      </c>
      <c r="N31" s="4">
        <f t="shared" ref="N31" si="55">N$6-N30</f>
        <v>28976674.899999999</v>
      </c>
      <c r="O31" s="4">
        <f t="shared" ref="O31" si="56">O$6-O30</f>
        <v>35426939.979999997</v>
      </c>
      <c r="P31" s="4">
        <f t="shared" ref="P31" si="57">P$6-P30</f>
        <v>35426939.979999997</v>
      </c>
      <c r="Q31" s="4">
        <f t="shared" ref="Q31" si="58">Q$6-Q30</f>
        <v>35426939.979999997</v>
      </c>
      <c r="R31" s="4">
        <f t="shared" ref="R31" si="59">R$6-R30</f>
        <v>35426939.979999997</v>
      </c>
      <c r="S31" s="4">
        <f t="shared" ref="S31" si="60">S$6-S30</f>
        <v>35426939.979999997</v>
      </c>
      <c r="T31" s="4">
        <f t="shared" ref="T31" si="61">T$6-T30</f>
        <v>35426939.979999997</v>
      </c>
    </row>
    <row r="32" spans="1:20" x14ac:dyDescent="0.25">
      <c r="A32" s="1" t="s">
        <v>34</v>
      </c>
      <c r="B32" s="1"/>
      <c r="C32" s="1"/>
      <c r="D32" s="3">
        <f t="shared" si="47"/>
        <v>4957987.7511614636</v>
      </c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D33" s="3">
        <f t="shared" si="47"/>
        <v>0</v>
      </c>
      <c r="E33" s="4">
        <f>E31-E32</f>
        <v>171646217.71631581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>
        <f>NPV($B$2,G36:J36)+F36</f>
        <v>6489542.6846620291</v>
      </c>
      <c r="E36" s="3">
        <f>NPV($B$2,G36:T36)+F36</f>
        <v>6489542.6846620291</v>
      </c>
      <c r="F36" s="3">
        <v>2784207.75</v>
      </c>
      <c r="G36" s="3">
        <v>3941364.77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</row>
    <row r="37" spans="1:20" x14ac:dyDescent="0.25">
      <c r="A37" s="1" t="s">
        <v>33</v>
      </c>
      <c r="B37" s="1"/>
      <c r="C37" s="1"/>
      <c r="D37" s="3">
        <f t="shared" ref="D37:D39" si="62">NPV($B$2,G37:J37)+F37</f>
        <v>22806230.000952661</v>
      </c>
      <c r="E37" s="3">
        <f>NPV($B$2,G37:T37)+F37</f>
        <v>184551488.45401335</v>
      </c>
      <c r="F37" s="4">
        <f>F$6-F36</f>
        <v>0</v>
      </c>
      <c r="G37" s="4">
        <f t="shared" ref="G37" si="63">G$6-G36</f>
        <v>0</v>
      </c>
      <c r="H37" s="4">
        <f t="shared" ref="H37" si="64">H$6-H36</f>
        <v>5882444.3099999996</v>
      </c>
      <c r="I37" s="4">
        <f t="shared" ref="I37" si="65">I$6-I36</f>
        <v>8491408.9800000004</v>
      </c>
      <c r="J37" s="4">
        <f t="shared" ref="J37" si="66">J$6-J36</f>
        <v>13508407.34</v>
      </c>
      <c r="K37" s="4">
        <f t="shared" ref="K37" si="67">K$6-K36</f>
        <v>16944559.32</v>
      </c>
      <c r="L37" s="4">
        <f t="shared" ref="L37" si="68">L$6-L36</f>
        <v>17458854.210000001</v>
      </c>
      <c r="M37" s="4">
        <f t="shared" ref="M37" si="69">M$6-M36</f>
        <v>22339013.989999998</v>
      </c>
      <c r="N37" s="4">
        <f t="shared" ref="N37" si="70">N$6-N36</f>
        <v>28976674.899999999</v>
      </c>
      <c r="O37" s="4">
        <f t="shared" ref="O37" si="71">O$6-O36</f>
        <v>35426939.979999997</v>
      </c>
      <c r="P37" s="4">
        <f t="shared" ref="P37" si="72">P$6-P36</f>
        <v>35426939.979999997</v>
      </c>
      <c r="Q37" s="4">
        <f t="shared" ref="Q37" si="73">Q$6-Q36</f>
        <v>35426939.979999997</v>
      </c>
      <c r="R37" s="4">
        <f t="shared" ref="R37" si="74">R$6-R36</f>
        <v>35426939.979999997</v>
      </c>
      <c r="S37" s="4">
        <f t="shared" ref="S37" si="75">S$6-S36</f>
        <v>35426939.979999997</v>
      </c>
      <c r="T37" s="4">
        <f t="shared" ref="T37" si="76">T$6-T36</f>
        <v>35426939.979999997</v>
      </c>
    </row>
    <row r="38" spans="1:20" x14ac:dyDescent="0.25">
      <c r="A38" s="1" t="s">
        <v>34</v>
      </c>
      <c r="B38" s="1"/>
      <c r="C38" s="1"/>
      <c r="D38" s="3">
        <f t="shared" si="62"/>
        <v>15906128.822262704</v>
      </c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D39" s="3">
        <f t="shared" si="62"/>
        <v>0</v>
      </c>
      <c r="E39" s="4">
        <f>E37-E38</f>
        <v>164824008.13734332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>
        <f>NPV($B$2,G42:J42)+F42</f>
        <v>6489542.6846620291</v>
      </c>
      <c r="E42" s="3">
        <f>NPV($B$2,G42:T42)+F42</f>
        <v>6489542.6846620291</v>
      </c>
      <c r="F42" s="3">
        <v>2784207.75</v>
      </c>
      <c r="G42" s="3">
        <v>3941364.77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</row>
    <row r="43" spans="1:20" x14ac:dyDescent="0.25">
      <c r="A43" s="1" t="s">
        <v>33</v>
      </c>
      <c r="B43" s="1"/>
      <c r="C43" s="1"/>
      <c r="D43" s="3">
        <f t="shared" ref="D43:D45" si="77">NPV($B$2,G43:J43)+F43</f>
        <v>22806230.000952661</v>
      </c>
      <c r="E43" s="3">
        <f>NPV($B$2,G43:T43)+F43</f>
        <v>184551488.45401335</v>
      </c>
      <c r="F43" s="4">
        <f>F$6-F42</f>
        <v>0</v>
      </c>
      <c r="G43" s="4">
        <f t="shared" ref="G43" si="78">G$6-G42</f>
        <v>0</v>
      </c>
      <c r="H43" s="4">
        <f t="shared" ref="H43" si="79">H$6-H42</f>
        <v>5882444.3099999996</v>
      </c>
      <c r="I43" s="4">
        <f t="shared" ref="I43" si="80">I$6-I42</f>
        <v>8491408.9800000004</v>
      </c>
      <c r="J43" s="4">
        <f t="shared" ref="J43" si="81">J$6-J42</f>
        <v>13508407.34</v>
      </c>
      <c r="K43" s="4">
        <f t="shared" ref="K43" si="82">K$6-K42</f>
        <v>16944559.32</v>
      </c>
      <c r="L43" s="4">
        <f t="shared" ref="L43" si="83">L$6-L42</f>
        <v>17458854.210000001</v>
      </c>
      <c r="M43" s="4">
        <f t="shared" ref="M43" si="84">M$6-M42</f>
        <v>22339013.989999998</v>
      </c>
      <c r="N43" s="4">
        <f t="shared" ref="N43" si="85">N$6-N42</f>
        <v>28976674.899999999</v>
      </c>
      <c r="O43" s="4">
        <f t="shared" ref="O43" si="86">O$6-O42</f>
        <v>35426939.979999997</v>
      </c>
      <c r="P43" s="4">
        <f t="shared" ref="P43" si="87">P$6-P42</f>
        <v>35426939.979999997</v>
      </c>
      <c r="Q43" s="4">
        <f t="shared" ref="Q43" si="88">Q$6-Q42</f>
        <v>35426939.979999997</v>
      </c>
      <c r="R43" s="4">
        <f t="shared" ref="R43" si="89">R$6-R42</f>
        <v>35426939.979999997</v>
      </c>
      <c r="S43" s="4">
        <f t="shared" ref="S43" si="90">S$6-S42</f>
        <v>35426939.979999997</v>
      </c>
      <c r="T43" s="4">
        <f t="shared" ref="T43" si="91">T$6-T42</f>
        <v>35426939.979999997</v>
      </c>
    </row>
    <row r="44" spans="1:20" x14ac:dyDescent="0.25">
      <c r="A44" s="1" t="s">
        <v>34</v>
      </c>
      <c r="B44" s="1"/>
      <c r="C44" s="1"/>
      <c r="D44" s="3">
        <f t="shared" si="77"/>
        <v>41030077.376347691</v>
      </c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D45" s="3">
        <f t="shared" si="77"/>
        <v>0</v>
      </c>
      <c r="E45" s="4">
        <f>E43-E44</f>
        <v>138963331.59945196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>
        <f>NPV($B$2,G48:J48)+F48</f>
        <v>6489635.9359711856</v>
      </c>
      <c r="E48" s="3">
        <f>NPV($B$2,G48:T48)+F48</f>
        <v>6492962.8727462757</v>
      </c>
      <c r="F48" s="3">
        <v>2784207.75</v>
      </c>
      <c r="G48" s="3">
        <v>3941364.77</v>
      </c>
      <c r="H48" s="3">
        <v>0</v>
      </c>
      <c r="I48" s="3">
        <v>0</v>
      </c>
      <c r="J48" s="3">
        <v>119.38</v>
      </c>
      <c r="K48" s="3">
        <v>260.83</v>
      </c>
      <c r="L48" s="3">
        <v>264.37</v>
      </c>
      <c r="M48" s="3">
        <v>382.32</v>
      </c>
      <c r="N48" s="3">
        <v>662.97</v>
      </c>
      <c r="O48" s="3">
        <v>775.58</v>
      </c>
      <c r="P48" s="3">
        <v>775.58</v>
      </c>
      <c r="Q48" s="3">
        <v>775.58</v>
      </c>
      <c r="R48" s="3">
        <v>775.58</v>
      </c>
      <c r="S48" s="3">
        <v>775.58</v>
      </c>
      <c r="T48" s="3">
        <v>775.58</v>
      </c>
    </row>
    <row r="49" spans="1:20" x14ac:dyDescent="0.25">
      <c r="A49" s="1" t="s">
        <v>33</v>
      </c>
      <c r="B49" s="1"/>
      <c r="C49" s="1"/>
      <c r="D49" s="3">
        <f t="shared" ref="D49:D51" si="92">NPV($B$2,G49:J49)+F49</f>
        <v>22806136.749643505</v>
      </c>
      <c r="E49" s="3">
        <f>NPV($B$2,G49:T49)+F49</f>
        <v>184548068.26592907</v>
      </c>
      <c r="F49" s="4">
        <f>F$6-F48</f>
        <v>0</v>
      </c>
      <c r="G49" s="4">
        <f t="shared" ref="G49" si="93">G$6-G48</f>
        <v>0</v>
      </c>
      <c r="H49" s="4">
        <f t="shared" ref="H49" si="94">H$6-H48</f>
        <v>5882444.3099999996</v>
      </c>
      <c r="I49" s="4">
        <f t="shared" ref="I49" si="95">I$6-I48</f>
        <v>8491408.9800000004</v>
      </c>
      <c r="J49" s="4">
        <f t="shared" ref="J49" si="96">J$6-J48</f>
        <v>13508287.959999999</v>
      </c>
      <c r="K49" s="4">
        <f t="shared" ref="K49" si="97">K$6-K48</f>
        <v>16944298.490000002</v>
      </c>
      <c r="L49" s="4">
        <f t="shared" ref="L49" si="98">L$6-L48</f>
        <v>17458589.84</v>
      </c>
      <c r="M49" s="4">
        <f t="shared" ref="M49" si="99">M$6-M48</f>
        <v>22338631.669999998</v>
      </c>
      <c r="N49" s="4">
        <f t="shared" ref="N49" si="100">N$6-N48</f>
        <v>28976011.93</v>
      </c>
      <c r="O49" s="4">
        <f t="shared" ref="O49" si="101">O$6-O48</f>
        <v>35426164.399999999</v>
      </c>
      <c r="P49" s="4">
        <f t="shared" ref="P49" si="102">P$6-P48</f>
        <v>35426164.399999999</v>
      </c>
      <c r="Q49" s="4">
        <f t="shared" ref="Q49" si="103">Q$6-Q48</f>
        <v>35426164.399999999</v>
      </c>
      <c r="R49" s="4">
        <f t="shared" ref="R49" si="104">R$6-R48</f>
        <v>35426164.399999999</v>
      </c>
      <c r="S49" s="4">
        <f t="shared" ref="S49" si="105">S$6-S48</f>
        <v>35426164.399999999</v>
      </c>
      <c r="T49" s="4">
        <f t="shared" ref="T49" si="106">T$6-T48</f>
        <v>35426164.399999999</v>
      </c>
    </row>
    <row r="50" spans="1:20" x14ac:dyDescent="0.25">
      <c r="A50" s="1" t="s">
        <v>34</v>
      </c>
      <c r="B50" s="1"/>
      <c r="C50" s="1"/>
      <c r="D50" s="3">
        <f t="shared" si="92"/>
        <v>6330425.6877618432</v>
      </c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D51" s="3">
        <f t="shared" si="92"/>
        <v>0</v>
      </c>
      <c r="E51" s="4">
        <f>E49-E50</f>
        <v>168063572.88492826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>
        <f>NPV($B$2,G54:J54)+F54</f>
        <v>6510457.2979163695</v>
      </c>
      <c r="E54" s="3">
        <f>NPV($B$2,G54:T54)+F54</f>
        <v>6510457.2979163695</v>
      </c>
      <c r="F54" s="3">
        <v>2784207.75</v>
      </c>
      <c r="G54" s="3">
        <v>3941364.77</v>
      </c>
      <c r="H54" s="3">
        <f>H53*39440</f>
        <v>23664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</row>
    <row r="55" spans="1:20" x14ac:dyDescent="0.25">
      <c r="A55" s="1" t="s">
        <v>33</v>
      </c>
      <c r="B55" s="1"/>
      <c r="C55" s="1"/>
      <c r="D55" s="3">
        <f t="shared" ref="D55:D57" si="107">NPV($B$2,G55:J55)+F55</f>
        <v>22785315.387698315</v>
      </c>
      <c r="E55" s="3">
        <f>NPV($B$2,G55:T55)+F55</f>
        <v>184530573.84075901</v>
      </c>
      <c r="F55" s="4">
        <f>F$6-F54</f>
        <v>0</v>
      </c>
      <c r="G55" s="4">
        <f t="shared" ref="G55" si="108">G$6-G54</f>
        <v>0</v>
      </c>
      <c r="H55" s="4">
        <f t="shared" ref="H55" si="109">H$6-H54</f>
        <v>5858780.3099999996</v>
      </c>
      <c r="I55" s="4">
        <f t="shared" ref="I55" si="110">I$6-I54</f>
        <v>8491408.9800000004</v>
      </c>
      <c r="J55" s="4">
        <f t="shared" ref="J55" si="111">J$6-J54</f>
        <v>13508407.34</v>
      </c>
      <c r="K55" s="4">
        <f t="shared" ref="K55" si="112">K$6-K54</f>
        <v>16944559.32</v>
      </c>
      <c r="L55" s="4">
        <f t="shared" ref="L55" si="113">L$6-L54</f>
        <v>17458854.210000001</v>
      </c>
      <c r="M55" s="4">
        <f t="shared" ref="M55" si="114">M$6-M54</f>
        <v>22339013.989999998</v>
      </c>
      <c r="N55" s="4">
        <f t="shared" ref="N55" si="115">N$6-N54</f>
        <v>28976674.899999999</v>
      </c>
      <c r="O55" s="4">
        <f t="shared" ref="O55" si="116">O$6-O54</f>
        <v>35426939.979999997</v>
      </c>
      <c r="P55" s="4">
        <f t="shared" ref="P55" si="117">P$6-P54</f>
        <v>35426939.979999997</v>
      </c>
      <c r="Q55" s="4">
        <f t="shared" ref="Q55" si="118">Q$6-Q54</f>
        <v>35426939.979999997</v>
      </c>
      <c r="R55" s="4">
        <f t="shared" ref="R55" si="119">R$6-R54</f>
        <v>35426939.979999997</v>
      </c>
      <c r="S55" s="4">
        <f t="shared" ref="S55" si="120">S$6-S54</f>
        <v>35426939.979999997</v>
      </c>
      <c r="T55" s="4">
        <f t="shared" ref="T55" si="121">T$6-T54</f>
        <v>35426939.979999997</v>
      </c>
    </row>
    <row r="56" spans="1:20" x14ac:dyDescent="0.25">
      <c r="A56" s="1" t="s">
        <v>34</v>
      </c>
      <c r="B56" s="1"/>
      <c r="C56" s="1"/>
      <c r="D56" s="3">
        <f t="shared" si="107"/>
        <v>7787183.9439942613</v>
      </c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D57" s="3">
        <f t="shared" si="107"/>
        <v>0</v>
      </c>
      <c r="E57" s="4">
        <f>E55-E56</f>
        <v>170675523.01799977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>
        <f>NPV($B$2,G60:J60)+F60</f>
        <v>9201470.8699749056</v>
      </c>
      <c r="E60" s="3">
        <f>NPV($B$2,G60:T60)+F60</f>
        <v>9201470.8699749056</v>
      </c>
      <c r="F60" s="3">
        <v>2784207.75</v>
      </c>
      <c r="G60" s="3">
        <v>3941364.77</v>
      </c>
      <c r="H60" s="3">
        <f>H59*39440</f>
        <v>3068432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</row>
    <row r="61" spans="1:20" x14ac:dyDescent="0.25">
      <c r="A61" s="1" t="s">
        <v>33</v>
      </c>
      <c r="B61" s="1"/>
      <c r="C61" s="1"/>
      <c r="D61" s="3">
        <f t="shared" ref="D61:D63" si="122">NPV($B$2,G61:J61)+F61</f>
        <v>20094301.815639783</v>
      </c>
      <c r="E61" s="3">
        <f>NPV($B$2,G61:T61)+F61</f>
        <v>181839560.26870048</v>
      </c>
      <c r="F61" s="4">
        <f>F$6-F60</f>
        <v>0</v>
      </c>
      <c r="G61" s="4">
        <f t="shared" ref="G61" si="123">G$6-G60</f>
        <v>0</v>
      </c>
      <c r="H61" s="4">
        <f t="shared" ref="H61" si="124">H$6-H60</f>
        <v>2814012.3099999996</v>
      </c>
      <c r="I61" s="4">
        <f t="shared" ref="I61" si="125">I$6-I60</f>
        <v>8491408.9800000004</v>
      </c>
      <c r="J61" s="4">
        <f t="shared" ref="J61" si="126">J$6-J60</f>
        <v>13508407.34</v>
      </c>
      <c r="K61" s="4">
        <f t="shared" ref="K61" si="127">K$6-K60</f>
        <v>16944559.32</v>
      </c>
      <c r="L61" s="4">
        <f t="shared" ref="L61" si="128">L$6-L60</f>
        <v>17458854.210000001</v>
      </c>
      <c r="M61" s="4">
        <f t="shared" ref="M61" si="129">M$6-M60</f>
        <v>22339013.989999998</v>
      </c>
      <c r="N61" s="4">
        <f t="shared" ref="N61" si="130">N$6-N60</f>
        <v>28976674.899999999</v>
      </c>
      <c r="O61" s="4">
        <f t="shared" ref="O61" si="131">O$6-O60</f>
        <v>35426939.979999997</v>
      </c>
      <c r="P61" s="4">
        <f t="shared" ref="P61" si="132">P$6-P60</f>
        <v>35426939.979999997</v>
      </c>
      <c r="Q61" s="4">
        <f t="shared" ref="Q61" si="133">Q$6-Q60</f>
        <v>35426939.979999997</v>
      </c>
      <c r="R61" s="4">
        <f t="shared" ref="R61" si="134">R$6-R60</f>
        <v>35426939.979999997</v>
      </c>
      <c r="S61" s="4">
        <f t="shared" ref="S61" si="135">S$6-S60</f>
        <v>35426939.979999997</v>
      </c>
      <c r="T61" s="4">
        <f t="shared" ref="T61" si="136">T$6-T60</f>
        <v>35426939.979999997</v>
      </c>
    </row>
    <row r="62" spans="1:20" x14ac:dyDescent="0.25">
      <c r="A62" s="1" t="s">
        <v>34</v>
      </c>
      <c r="B62" s="1"/>
      <c r="C62" s="1"/>
      <c r="D62" s="3">
        <f t="shared" si="122"/>
        <v>12941544.267445683</v>
      </c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D63" s="3">
        <f t="shared" si="122"/>
        <v>0</v>
      </c>
      <c r="E63" s="4">
        <f>E61-E62</f>
        <v>162830149.12248981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>
        <f>NPV($B$2,G66:J66)+F66</f>
        <v>29271708.806774694</v>
      </c>
      <c r="E66" s="3">
        <f>NPV($B$2,G66:T66)+F66</f>
        <v>190889650.73949873</v>
      </c>
      <c r="F66" s="3">
        <v>2784207.75</v>
      </c>
      <c r="G66" s="3">
        <v>3941364.77</v>
      </c>
      <c r="H66" s="3">
        <v>5875532.4900000002</v>
      </c>
      <c r="I66" s="3">
        <v>8482238.3100000005</v>
      </c>
      <c r="J66" s="3">
        <v>13495176.119999999</v>
      </c>
      <c r="K66" s="3">
        <v>16928845.789999999</v>
      </c>
      <c r="L66" s="3">
        <v>17443241.34</v>
      </c>
      <c r="M66" s="3">
        <v>22320679.379999999</v>
      </c>
      <c r="N66" s="3">
        <v>28953478.32</v>
      </c>
      <c r="O66" s="3">
        <v>35400321.600000001</v>
      </c>
      <c r="P66" s="3">
        <v>35400321.600000001</v>
      </c>
      <c r="Q66" s="3">
        <v>35400321.600000001</v>
      </c>
      <c r="R66" s="3">
        <v>35400321.600000001</v>
      </c>
      <c r="S66" s="3">
        <v>35400321.600000001</v>
      </c>
      <c r="T66" s="3">
        <v>35400321.600000001</v>
      </c>
    </row>
    <row r="67" spans="1:20" x14ac:dyDescent="0.25">
      <c r="A67" s="1" t="s">
        <v>33</v>
      </c>
      <c r="B67" s="1"/>
      <c r="C67" s="1"/>
      <c r="D67" s="3">
        <f t="shared" ref="D67:D69" si="137">NPV($B$2,G67:J67)+F67</f>
        <v>24063.87883999079</v>
      </c>
      <c r="E67" s="3">
        <f>NPV($B$2,G67:T67)+F67</f>
        <v>151380.39917664335</v>
      </c>
      <c r="F67" s="4">
        <f>F$6-F66</f>
        <v>0</v>
      </c>
      <c r="G67" s="4">
        <f t="shared" ref="G67" si="138">G$6-G66</f>
        <v>0</v>
      </c>
      <c r="H67" s="4">
        <f t="shared" ref="H67" si="139">H$6-H66</f>
        <v>6911.8199999993667</v>
      </c>
      <c r="I67" s="4">
        <f t="shared" ref="I67" si="140">I$6-I66</f>
        <v>9170.6699999999255</v>
      </c>
      <c r="J67" s="4">
        <f t="shared" ref="J67" si="141">J$6-J66</f>
        <v>13231.220000000671</v>
      </c>
      <c r="K67" s="4">
        <f t="shared" ref="K67" si="142">K$6-K66</f>
        <v>15713.530000001192</v>
      </c>
      <c r="L67" s="4">
        <f t="shared" ref="L67" si="143">L$6-L66</f>
        <v>15612.870000001043</v>
      </c>
      <c r="M67" s="4">
        <f t="shared" ref="M67" si="144">M$6-M66</f>
        <v>18334.609999999404</v>
      </c>
      <c r="N67" s="4">
        <f t="shared" ref="N67" si="145">N$6-N66</f>
        <v>23196.579999998212</v>
      </c>
      <c r="O67" s="4">
        <f t="shared" ref="O67" si="146">O$6-O66</f>
        <v>26618.379999995232</v>
      </c>
      <c r="P67" s="4">
        <f t="shared" ref="P67" si="147">P$6-P66</f>
        <v>26618.379999995232</v>
      </c>
      <c r="Q67" s="4">
        <f t="shared" ref="Q67" si="148">Q$6-Q66</f>
        <v>26618.379999995232</v>
      </c>
      <c r="R67" s="4">
        <f t="shared" ref="R67" si="149">R$6-R66</f>
        <v>26618.379999995232</v>
      </c>
      <c r="S67" s="4">
        <f t="shared" ref="S67" si="150">S$6-S66</f>
        <v>26618.379999995232</v>
      </c>
      <c r="T67" s="4">
        <f t="shared" ref="T67" si="151">T$6-T66</f>
        <v>26618.379999995232</v>
      </c>
    </row>
    <row r="68" spans="1:20" x14ac:dyDescent="0.25">
      <c r="A68" s="1" t="s">
        <v>34</v>
      </c>
      <c r="B68" s="1"/>
      <c r="C68" s="1"/>
      <c r="D68" s="3">
        <f t="shared" si="137"/>
        <v>1168272.8388952489</v>
      </c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D69" s="3">
        <f t="shared" si="137"/>
        <v>0</v>
      </c>
      <c r="E69" s="4">
        <f>E67-E68</f>
        <v>-12651813.475596793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>
        <f>NPV($B$2,G72:J72)+F72</f>
        <v>29271708.806774694</v>
      </c>
      <c r="E72" s="3">
        <f>NPV($B$2,G72:T72)+F72</f>
        <v>190889650.73949873</v>
      </c>
      <c r="F72" s="3">
        <v>2784207.75</v>
      </c>
      <c r="G72" s="3">
        <v>3941364.77</v>
      </c>
      <c r="H72" s="3">
        <v>5875532.4900000002</v>
      </c>
      <c r="I72" s="3">
        <v>8482238.3100000005</v>
      </c>
      <c r="J72" s="3">
        <v>13495176.119999999</v>
      </c>
      <c r="K72" s="3">
        <v>16928845.789999999</v>
      </c>
      <c r="L72" s="3">
        <v>17443241.34</v>
      </c>
      <c r="M72" s="3">
        <v>22320679.379999999</v>
      </c>
      <c r="N72" s="3">
        <v>28953478.32</v>
      </c>
      <c r="O72" s="3">
        <v>35400321.600000001</v>
      </c>
      <c r="P72" s="3">
        <v>35400321.600000001</v>
      </c>
      <c r="Q72" s="3">
        <v>35400321.600000001</v>
      </c>
      <c r="R72" s="3">
        <v>35400321.600000001</v>
      </c>
      <c r="S72" s="3">
        <v>35400321.600000001</v>
      </c>
      <c r="T72" s="3">
        <v>35400321.600000001</v>
      </c>
    </row>
    <row r="73" spans="1:20" x14ac:dyDescent="0.25">
      <c r="A73" s="1" t="s">
        <v>33</v>
      </c>
      <c r="D73" s="3">
        <f t="shared" ref="D73:D75" si="152">NPV($B$2,G73:J73)+F73</f>
        <v>24063.87883999079</v>
      </c>
      <c r="E73" s="3">
        <f>NPV($B$2,G73:T73)+F73</f>
        <v>151380.39917664335</v>
      </c>
      <c r="F73" s="4">
        <f>F$6-F72</f>
        <v>0</v>
      </c>
      <c r="G73" s="4">
        <f t="shared" ref="G73" si="153">G$6-G72</f>
        <v>0</v>
      </c>
      <c r="H73" s="4">
        <f t="shared" ref="H73" si="154">H$6-H72</f>
        <v>6911.8199999993667</v>
      </c>
      <c r="I73" s="4">
        <f t="shared" ref="I73" si="155">I$6-I72</f>
        <v>9170.6699999999255</v>
      </c>
      <c r="J73" s="4">
        <f t="shared" ref="J73" si="156">J$6-J72</f>
        <v>13231.220000000671</v>
      </c>
      <c r="K73" s="4">
        <f t="shared" ref="K73" si="157">K$6-K72</f>
        <v>15713.530000001192</v>
      </c>
      <c r="L73" s="4">
        <f t="shared" ref="L73" si="158">L$6-L72</f>
        <v>15612.870000001043</v>
      </c>
      <c r="M73" s="4">
        <f t="shared" ref="M73" si="159">M$6-M72</f>
        <v>18334.609999999404</v>
      </c>
      <c r="N73" s="4">
        <f t="shared" ref="N73" si="160">N$6-N72</f>
        <v>23196.579999998212</v>
      </c>
      <c r="O73" s="4">
        <f t="shared" ref="O73" si="161">O$6-O72</f>
        <v>26618.379999995232</v>
      </c>
      <c r="P73" s="4">
        <f t="shared" ref="P73" si="162">P$6-P72</f>
        <v>26618.379999995232</v>
      </c>
      <c r="Q73" s="4">
        <f t="shared" ref="Q73" si="163">Q$6-Q72</f>
        <v>26618.379999995232</v>
      </c>
      <c r="R73" s="4">
        <f t="shared" ref="R73" si="164">R$6-R72</f>
        <v>26618.379999995232</v>
      </c>
      <c r="S73" s="4">
        <f t="shared" ref="S73" si="165">S$6-S72</f>
        <v>26618.379999995232</v>
      </c>
      <c r="T73" s="4">
        <f t="shared" ref="T73" si="166">T$6-T72</f>
        <v>26618.379999995232</v>
      </c>
    </row>
    <row r="74" spans="1:20" x14ac:dyDescent="0.25">
      <c r="A74" s="1" t="s">
        <v>34</v>
      </c>
      <c r="D74" s="3">
        <f t="shared" si="152"/>
        <v>1487714.5288733635</v>
      </c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D75" s="3">
        <f t="shared" si="152"/>
        <v>0</v>
      </c>
      <c r="E75" s="4">
        <f>E73-E74</f>
        <v>-13006742.318041611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37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B79" s="1"/>
      <c r="C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D81" s="3"/>
      <c r="E81" s="4"/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3.85546875" bestFit="1" customWidth="1"/>
    <col min="2" max="2" width="11.42578125" bestFit="1" customWidth="1"/>
    <col min="3" max="4" width="4.28515625" customWidth="1"/>
    <col min="5" max="5" width="25.7109375" bestFit="1" customWidth="1"/>
    <col min="6" max="6" width="12" bestFit="1" customWidth="1"/>
    <col min="7" max="7" width="12.42578125" bestFit="1" customWidth="1"/>
    <col min="8" max="8" width="13.140625" bestFit="1" customWidth="1"/>
    <col min="9" max="9" width="12.85546875" bestFit="1" customWidth="1"/>
    <col min="10" max="11" width="13.140625" bestFit="1" customWidth="1"/>
    <col min="12" max="13" width="13.5703125" bestFit="1" customWidth="1"/>
    <col min="14" max="14" width="13.140625" bestFit="1" customWidth="1"/>
    <col min="15" max="20" width="13.5703125" bestFit="1" customWidth="1"/>
  </cols>
  <sheetData>
    <row r="1" spans="1:20" s="12" customFormat="1" x14ac:dyDescent="0.25">
      <c r="A1" s="41" t="s">
        <v>36</v>
      </c>
      <c r="B1" s="42">
        <f>'Cost-Benefit (BASE)'!$B$1*1.2</f>
        <v>47328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0" x14ac:dyDescent="0.25">
      <c r="A6" s="1" t="s">
        <v>0</v>
      </c>
      <c r="B6" s="1"/>
      <c r="C6" s="1"/>
      <c r="D6" s="3"/>
      <c r="E6" s="3">
        <f>NPV($B$2,G6:T6)+F6</f>
        <v>229249237.36641043</v>
      </c>
      <c r="F6" s="3">
        <f>'Cost-Benefit (BASE)'!F6/'Cost-Benefit (BASE)'!$B$1*$B$1</f>
        <v>3341049.3</v>
      </c>
      <c r="G6" s="3">
        <f>'Cost-Benefit (BASE)'!G6/'Cost-Benefit (BASE)'!$B$1*$B$1</f>
        <v>4729637.7240000004</v>
      </c>
      <c r="H6" s="3">
        <f>'Cost-Benefit (BASE)'!H6/'Cost-Benefit (BASE)'!$B$1*$B$1</f>
        <v>7058933.1719999993</v>
      </c>
      <c r="I6" s="3">
        <f>'Cost-Benefit (BASE)'!I6/'Cost-Benefit (BASE)'!$B$1*$B$1</f>
        <v>10189690.776000001</v>
      </c>
      <c r="J6" s="3">
        <f>'Cost-Benefit (BASE)'!J6/'Cost-Benefit (BASE)'!$B$1*$B$1</f>
        <v>16210088.808</v>
      </c>
      <c r="K6" s="3">
        <f>'Cost-Benefit (BASE)'!K6/'Cost-Benefit (BASE)'!$B$1*$B$1</f>
        <v>20333471.184</v>
      </c>
      <c r="L6" s="3">
        <f>'Cost-Benefit (BASE)'!L6/'Cost-Benefit (BASE)'!$B$1*$B$1</f>
        <v>20950625.052000001</v>
      </c>
      <c r="M6" s="3">
        <f>'Cost-Benefit (BASE)'!M6/'Cost-Benefit (BASE)'!$B$1*$B$1</f>
        <v>26806816.787999999</v>
      </c>
      <c r="N6" s="3">
        <f>'Cost-Benefit (BASE)'!N6/'Cost-Benefit (BASE)'!$B$1*$B$1</f>
        <v>34772009.880000003</v>
      </c>
      <c r="O6" s="3">
        <f>'Cost-Benefit (BASE)'!O6/'Cost-Benefit (BASE)'!$B$1*$B$1</f>
        <v>42512327.975999996</v>
      </c>
      <c r="P6" s="3">
        <f>'Cost-Benefit (BASE)'!P6/'Cost-Benefit (BASE)'!$B$1*$B$1</f>
        <v>42512327.975999996</v>
      </c>
      <c r="Q6" s="3">
        <f>'Cost-Benefit (BASE)'!Q6/'Cost-Benefit (BASE)'!$B$1*$B$1</f>
        <v>42512327.975999996</v>
      </c>
      <c r="R6" s="3">
        <f>'Cost-Benefit (BASE)'!R6/'Cost-Benefit (BASE)'!$B$1*$B$1</f>
        <v>42512327.975999996</v>
      </c>
      <c r="S6" s="3">
        <f>'Cost-Benefit (BASE)'!S6/'Cost-Benefit (BASE)'!$B$1*$B$1</f>
        <v>42512327.975999996</v>
      </c>
      <c r="T6" s="3">
        <f>'Cost-Benefit (BASE)'!T6/'Cost-Benefit (BASE)'!$B$1*$B$1</f>
        <v>42512327.975999996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7787451.2215944342</v>
      </c>
      <c r="F12" s="3">
        <f>'Cost-Benefit (BASE)'!F12/'Cost-Benefit (BASE)'!$B$1*$B$1</f>
        <v>3341049.3</v>
      </c>
      <c r="G12" s="3">
        <f>'Cost-Benefit (BASE)'!G12/'Cost-Benefit (BASE)'!$B$1*$B$1</f>
        <v>4729637.7240000004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221461786.14481598</v>
      </c>
      <c r="F13" s="4">
        <f>F$6-F12</f>
        <v>0</v>
      </c>
      <c r="G13" s="4">
        <f t="shared" ref="G13:T13" si="1">G$6-G12</f>
        <v>0</v>
      </c>
      <c r="H13" s="4">
        <f t="shared" si="1"/>
        <v>7058933.1719999993</v>
      </c>
      <c r="I13" s="4">
        <f t="shared" si="1"/>
        <v>10189690.776000001</v>
      </c>
      <c r="J13" s="4">
        <f t="shared" si="1"/>
        <v>16210088.808</v>
      </c>
      <c r="K13" s="4">
        <f t="shared" si="1"/>
        <v>20333471.184</v>
      </c>
      <c r="L13" s="4">
        <f t="shared" si="1"/>
        <v>20950625.052000001</v>
      </c>
      <c r="M13" s="4">
        <f t="shared" si="1"/>
        <v>26806816.787999999</v>
      </c>
      <c r="N13" s="4">
        <f t="shared" si="1"/>
        <v>34772009.880000003</v>
      </c>
      <c r="O13" s="4">
        <f t="shared" si="1"/>
        <v>42512327.975999996</v>
      </c>
      <c r="P13" s="4">
        <f t="shared" si="1"/>
        <v>42512327.975999996</v>
      </c>
      <c r="Q13" s="4">
        <f t="shared" si="1"/>
        <v>42512327.975999996</v>
      </c>
      <c r="R13" s="4">
        <f t="shared" si="1"/>
        <v>42512327.975999996</v>
      </c>
      <c r="S13" s="4">
        <f t="shared" si="1"/>
        <v>42512327.975999996</v>
      </c>
      <c r="T13" s="4">
        <f t="shared" si="1"/>
        <v>42512327.975999996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204755136.56000978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7787451.2215944342</v>
      </c>
      <c r="F18" s="3">
        <f>'Cost-Benefit (BASE)'!F18/'Cost-Benefit (BASE)'!$B$1*$B$1</f>
        <v>3341049.3</v>
      </c>
      <c r="G18" s="3">
        <f>'Cost-Benefit (BASE)'!G18/'Cost-Benefit (BASE)'!$B$1*$B$1</f>
        <v>4729637.7240000004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221461786.14481598</v>
      </c>
      <c r="F19" s="4">
        <f>F$6-F18</f>
        <v>0</v>
      </c>
      <c r="G19" s="4">
        <f t="shared" ref="G19:T19" si="2">G$6-G18</f>
        <v>0</v>
      </c>
      <c r="H19" s="4">
        <f t="shared" si="2"/>
        <v>7058933.1719999993</v>
      </c>
      <c r="I19" s="4">
        <f t="shared" si="2"/>
        <v>10189690.776000001</v>
      </c>
      <c r="J19" s="4">
        <f t="shared" si="2"/>
        <v>16210088.808</v>
      </c>
      <c r="K19" s="4">
        <f t="shared" si="2"/>
        <v>20333471.184</v>
      </c>
      <c r="L19" s="4">
        <f t="shared" si="2"/>
        <v>20950625.052000001</v>
      </c>
      <c r="M19" s="4">
        <f t="shared" si="2"/>
        <v>26806816.787999999</v>
      </c>
      <c r="N19" s="4">
        <f t="shared" si="2"/>
        <v>34772009.880000003</v>
      </c>
      <c r="O19" s="4">
        <f t="shared" si="2"/>
        <v>42512327.975999996</v>
      </c>
      <c r="P19" s="4">
        <f t="shared" si="2"/>
        <v>42512327.975999996</v>
      </c>
      <c r="Q19" s="4">
        <f t="shared" si="2"/>
        <v>42512327.975999996</v>
      </c>
      <c r="R19" s="4">
        <f t="shared" si="2"/>
        <v>42512327.975999996</v>
      </c>
      <c r="S19" s="4">
        <f t="shared" si="2"/>
        <v>42512327.975999996</v>
      </c>
      <c r="T19" s="4">
        <f t="shared" si="2"/>
        <v>42512327.975999996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208861505.30199108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7787451.2215944342</v>
      </c>
      <c r="F24" s="3">
        <f>'Cost-Benefit (BASE)'!F24/'Cost-Benefit (BASE)'!$B$1*$B$1</f>
        <v>3341049.3</v>
      </c>
      <c r="G24" s="3">
        <f>'Cost-Benefit (BASE)'!G24/'Cost-Benefit (BASE)'!$B$1*$B$1</f>
        <v>4729637.7240000004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221461786.14481598</v>
      </c>
      <c r="F25" s="4">
        <f>F$6-F24</f>
        <v>0</v>
      </c>
      <c r="G25" s="4">
        <f t="shared" ref="G25:T25" si="3">G$6-G24</f>
        <v>0</v>
      </c>
      <c r="H25" s="4">
        <f t="shared" si="3"/>
        <v>7058933.1719999993</v>
      </c>
      <c r="I25" s="4">
        <f t="shared" si="3"/>
        <v>10189690.776000001</v>
      </c>
      <c r="J25" s="4">
        <f t="shared" si="3"/>
        <v>16210088.808</v>
      </c>
      <c r="K25" s="4">
        <f t="shared" si="3"/>
        <v>20333471.184</v>
      </c>
      <c r="L25" s="4">
        <f t="shared" si="3"/>
        <v>20950625.052000001</v>
      </c>
      <c r="M25" s="4">
        <f t="shared" si="3"/>
        <v>26806816.787999999</v>
      </c>
      <c r="N25" s="4">
        <f t="shared" si="3"/>
        <v>34772009.880000003</v>
      </c>
      <c r="O25" s="4">
        <f t="shared" si="3"/>
        <v>42512327.975999996</v>
      </c>
      <c r="P25" s="4">
        <f t="shared" si="3"/>
        <v>42512327.975999996</v>
      </c>
      <c r="Q25" s="4">
        <f t="shared" si="3"/>
        <v>42512327.975999996</v>
      </c>
      <c r="R25" s="4">
        <f t="shared" si="3"/>
        <v>42512327.975999996</v>
      </c>
      <c r="S25" s="4">
        <f t="shared" si="3"/>
        <v>42512327.975999996</v>
      </c>
      <c r="T25" s="4">
        <f t="shared" si="3"/>
        <v>42512327.975999996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204514431.40066731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7787451.2215944342</v>
      </c>
      <c r="F30" s="3">
        <f>'Cost-Benefit (BASE)'!F30/'Cost-Benefit (BASE)'!$B$1*$B$1</f>
        <v>3341049.3</v>
      </c>
      <c r="G30" s="3">
        <f>'Cost-Benefit (BASE)'!G30/'Cost-Benefit (BASE)'!$B$1*$B$1</f>
        <v>4729637.7240000004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221461786.14481598</v>
      </c>
      <c r="F31" s="4">
        <f>F$6-F30</f>
        <v>0</v>
      </c>
      <c r="G31" s="4">
        <f t="shared" ref="G31:T31" si="4">G$6-G30</f>
        <v>0</v>
      </c>
      <c r="H31" s="4">
        <f t="shared" si="4"/>
        <v>7058933.1719999993</v>
      </c>
      <c r="I31" s="4">
        <f t="shared" si="4"/>
        <v>10189690.776000001</v>
      </c>
      <c r="J31" s="4">
        <f t="shared" si="4"/>
        <v>16210088.808</v>
      </c>
      <c r="K31" s="4">
        <f t="shared" si="4"/>
        <v>20333471.184</v>
      </c>
      <c r="L31" s="4">
        <f t="shared" si="4"/>
        <v>20950625.052000001</v>
      </c>
      <c r="M31" s="4">
        <f t="shared" si="4"/>
        <v>26806816.787999999</v>
      </c>
      <c r="N31" s="4">
        <f t="shared" si="4"/>
        <v>34772009.880000003</v>
      </c>
      <c r="O31" s="4">
        <f t="shared" si="4"/>
        <v>42512327.975999996</v>
      </c>
      <c r="P31" s="4">
        <f t="shared" si="4"/>
        <v>42512327.975999996</v>
      </c>
      <c r="Q31" s="4">
        <f t="shared" si="4"/>
        <v>42512327.975999996</v>
      </c>
      <c r="R31" s="4">
        <f t="shared" si="4"/>
        <v>42512327.975999996</v>
      </c>
      <c r="S31" s="4">
        <f t="shared" si="4"/>
        <v>42512327.975999996</v>
      </c>
      <c r="T31" s="4">
        <f t="shared" si="4"/>
        <v>42512327.975999996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208556515.40711844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7787451.2215944342</v>
      </c>
      <c r="F36" s="3">
        <f>'Cost-Benefit (BASE)'!F36/'Cost-Benefit (BASE)'!$B$1*$B$1</f>
        <v>3341049.3</v>
      </c>
      <c r="G36" s="3">
        <f>'Cost-Benefit (BASE)'!G36/'Cost-Benefit (BASE)'!$B$1*$B$1</f>
        <v>4729637.7240000004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221461786.14481598</v>
      </c>
      <c r="F37" s="4">
        <f>F$6-F36</f>
        <v>0</v>
      </c>
      <c r="G37" s="4">
        <f t="shared" ref="G37:T37" si="5">G$6-G36</f>
        <v>0</v>
      </c>
      <c r="H37" s="4">
        <f t="shared" si="5"/>
        <v>7058933.1719999993</v>
      </c>
      <c r="I37" s="4">
        <f t="shared" si="5"/>
        <v>10189690.776000001</v>
      </c>
      <c r="J37" s="4">
        <f t="shared" si="5"/>
        <v>16210088.808</v>
      </c>
      <c r="K37" s="4">
        <f t="shared" si="5"/>
        <v>20333471.184</v>
      </c>
      <c r="L37" s="4">
        <f t="shared" si="5"/>
        <v>20950625.052000001</v>
      </c>
      <c r="M37" s="4">
        <f t="shared" si="5"/>
        <v>26806816.787999999</v>
      </c>
      <c r="N37" s="4">
        <f t="shared" si="5"/>
        <v>34772009.880000003</v>
      </c>
      <c r="O37" s="4">
        <f t="shared" si="5"/>
        <v>42512327.975999996</v>
      </c>
      <c r="P37" s="4">
        <f t="shared" si="5"/>
        <v>42512327.975999996</v>
      </c>
      <c r="Q37" s="4">
        <f t="shared" si="5"/>
        <v>42512327.975999996</v>
      </c>
      <c r="R37" s="4">
        <f t="shared" si="5"/>
        <v>42512327.975999996</v>
      </c>
      <c r="S37" s="4">
        <f t="shared" si="5"/>
        <v>42512327.975999996</v>
      </c>
      <c r="T37" s="4">
        <f t="shared" si="5"/>
        <v>42512327.975999996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201734305.82814595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7787451.2215944342</v>
      </c>
      <c r="F42" s="3">
        <f>'Cost-Benefit (BASE)'!F42/'Cost-Benefit (BASE)'!$B$1*$B$1</f>
        <v>3341049.3</v>
      </c>
      <c r="G42" s="3">
        <f>'Cost-Benefit (BASE)'!G42/'Cost-Benefit (BASE)'!$B$1*$B$1</f>
        <v>4729637.7240000004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221461786.14481598</v>
      </c>
      <c r="F43" s="4">
        <f>F$6-F42</f>
        <v>0</v>
      </c>
      <c r="G43" s="4">
        <f t="shared" ref="G43:T43" si="6">G$6-G42</f>
        <v>0</v>
      </c>
      <c r="H43" s="4">
        <f t="shared" si="6"/>
        <v>7058933.1719999993</v>
      </c>
      <c r="I43" s="4">
        <f t="shared" si="6"/>
        <v>10189690.776000001</v>
      </c>
      <c r="J43" s="4">
        <f t="shared" si="6"/>
        <v>16210088.808</v>
      </c>
      <c r="K43" s="4">
        <f t="shared" si="6"/>
        <v>20333471.184</v>
      </c>
      <c r="L43" s="4">
        <f t="shared" si="6"/>
        <v>20950625.052000001</v>
      </c>
      <c r="M43" s="4">
        <f t="shared" si="6"/>
        <v>26806816.787999999</v>
      </c>
      <c r="N43" s="4">
        <f t="shared" si="6"/>
        <v>34772009.880000003</v>
      </c>
      <c r="O43" s="4">
        <f t="shared" si="6"/>
        <v>42512327.975999996</v>
      </c>
      <c r="P43" s="4">
        <f t="shared" si="6"/>
        <v>42512327.975999996</v>
      </c>
      <c r="Q43" s="4">
        <f t="shared" si="6"/>
        <v>42512327.975999996</v>
      </c>
      <c r="R43" s="4">
        <f t="shared" si="6"/>
        <v>42512327.975999996</v>
      </c>
      <c r="S43" s="4">
        <f t="shared" si="6"/>
        <v>42512327.975999996</v>
      </c>
      <c r="T43" s="4">
        <f t="shared" si="6"/>
        <v>42512327.975999996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175873629.29025459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7791555.4472955316</v>
      </c>
      <c r="F48" s="3">
        <f>'Cost-Benefit (BASE)'!F48/'Cost-Benefit (BASE)'!$B$1*$B$1</f>
        <v>3341049.3</v>
      </c>
      <c r="G48" s="3">
        <f>'Cost-Benefit (BASE)'!G48/'Cost-Benefit (BASE)'!$B$1*$B$1</f>
        <v>4729637.7240000004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143.256</v>
      </c>
      <c r="K48" s="3">
        <f>'Cost-Benefit (BASE)'!K48/'Cost-Benefit (BASE)'!$B$1*$B$1</f>
        <v>312.99599999999998</v>
      </c>
      <c r="L48" s="3">
        <f>'Cost-Benefit (BASE)'!L48/'Cost-Benefit (BASE)'!$B$1*$B$1</f>
        <v>317.24400000000003</v>
      </c>
      <c r="M48" s="3">
        <f>'Cost-Benefit (BASE)'!M48/'Cost-Benefit (BASE)'!$B$1*$B$1</f>
        <v>458.78399999999993</v>
      </c>
      <c r="N48" s="3">
        <f>'Cost-Benefit (BASE)'!N48/'Cost-Benefit (BASE)'!$B$1*$B$1</f>
        <v>795.56399999999996</v>
      </c>
      <c r="O48" s="3">
        <f>'Cost-Benefit (BASE)'!O48/'Cost-Benefit (BASE)'!$B$1*$B$1</f>
        <v>930.69600000000014</v>
      </c>
      <c r="P48" s="3">
        <f>'Cost-Benefit (BASE)'!P48/'Cost-Benefit (BASE)'!$B$1*$B$1</f>
        <v>930.69600000000014</v>
      </c>
      <c r="Q48" s="3">
        <f>'Cost-Benefit (BASE)'!Q48/'Cost-Benefit (BASE)'!$B$1*$B$1</f>
        <v>930.69600000000014</v>
      </c>
      <c r="R48" s="3">
        <f>'Cost-Benefit (BASE)'!R48/'Cost-Benefit (BASE)'!$B$1*$B$1</f>
        <v>930.69600000000014</v>
      </c>
      <c r="S48" s="3">
        <f>'Cost-Benefit (BASE)'!S48/'Cost-Benefit (BASE)'!$B$1*$B$1</f>
        <v>930.69600000000014</v>
      </c>
      <c r="T48" s="3">
        <f>'Cost-Benefit (BASE)'!T48/'Cost-Benefit (BASE)'!$B$1*$B$1</f>
        <v>930.69600000000014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221457681.91911492</v>
      </c>
      <c r="F49" s="4">
        <f>F$6-F48</f>
        <v>0</v>
      </c>
      <c r="G49" s="4">
        <f t="shared" ref="G49:T49" si="7">G$6-G48</f>
        <v>0</v>
      </c>
      <c r="H49" s="4">
        <f t="shared" si="7"/>
        <v>7058933.1719999993</v>
      </c>
      <c r="I49" s="4">
        <f t="shared" si="7"/>
        <v>10189690.776000001</v>
      </c>
      <c r="J49" s="4">
        <f t="shared" si="7"/>
        <v>16209945.552000001</v>
      </c>
      <c r="K49" s="4">
        <f t="shared" si="7"/>
        <v>20333158.188000001</v>
      </c>
      <c r="L49" s="4">
        <f t="shared" si="7"/>
        <v>20950307.808000002</v>
      </c>
      <c r="M49" s="4">
        <f t="shared" si="7"/>
        <v>26806358.003999997</v>
      </c>
      <c r="N49" s="4">
        <f t="shared" si="7"/>
        <v>34771214.316</v>
      </c>
      <c r="O49" s="4">
        <f t="shared" si="7"/>
        <v>42511397.279999994</v>
      </c>
      <c r="P49" s="4">
        <f t="shared" si="7"/>
        <v>42511397.279999994</v>
      </c>
      <c r="Q49" s="4">
        <f t="shared" si="7"/>
        <v>42511397.279999994</v>
      </c>
      <c r="R49" s="4">
        <f t="shared" si="7"/>
        <v>42511397.279999994</v>
      </c>
      <c r="S49" s="4">
        <f t="shared" si="7"/>
        <v>42511397.279999994</v>
      </c>
      <c r="T49" s="4">
        <f t="shared" si="7"/>
        <v>42511397.279999994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204973186.5381141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7812548.7574996427</v>
      </c>
      <c r="F54" s="3">
        <f>'Cost-Benefit (BASE)'!F54/'Cost-Benefit (BASE)'!$B$1*$B$1</f>
        <v>3341049.3</v>
      </c>
      <c r="G54" s="3">
        <f>'Cost-Benefit (BASE)'!G54/'Cost-Benefit (BASE)'!$B$1*$B$1</f>
        <v>4729637.7240000004</v>
      </c>
      <c r="H54" s="3">
        <f>'Cost-Benefit (BASE)'!H54/'Cost-Benefit (BASE)'!$B$1*$B$1</f>
        <v>28396.799999999999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221436688.6089108</v>
      </c>
      <c r="F55" s="4">
        <f>F$6-F54</f>
        <v>0</v>
      </c>
      <c r="G55" s="4">
        <f t="shared" ref="G55:T55" si="8">G$6-G54</f>
        <v>0</v>
      </c>
      <c r="H55" s="4">
        <f t="shared" si="8"/>
        <v>7030536.3719999995</v>
      </c>
      <c r="I55" s="4">
        <f t="shared" si="8"/>
        <v>10189690.776000001</v>
      </c>
      <c r="J55" s="4">
        <f t="shared" si="8"/>
        <v>16210088.808</v>
      </c>
      <c r="K55" s="4">
        <f t="shared" si="8"/>
        <v>20333471.184</v>
      </c>
      <c r="L55" s="4">
        <f t="shared" si="8"/>
        <v>20950625.052000001</v>
      </c>
      <c r="M55" s="4">
        <f t="shared" si="8"/>
        <v>26806816.787999999</v>
      </c>
      <c r="N55" s="4">
        <f t="shared" si="8"/>
        <v>34772009.880000003</v>
      </c>
      <c r="O55" s="4">
        <f t="shared" si="8"/>
        <v>42512327.975999996</v>
      </c>
      <c r="P55" s="4">
        <f t="shared" si="8"/>
        <v>42512327.975999996</v>
      </c>
      <c r="Q55" s="4">
        <f t="shared" si="8"/>
        <v>42512327.975999996</v>
      </c>
      <c r="R55" s="4">
        <f t="shared" si="8"/>
        <v>42512327.975999996</v>
      </c>
      <c r="S55" s="4">
        <f t="shared" si="8"/>
        <v>42512327.975999996</v>
      </c>
      <c r="T55" s="4">
        <f t="shared" si="8"/>
        <v>42512327.975999996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207581637.78615153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11041765.043969885</v>
      </c>
      <c r="F60" s="3">
        <f>'Cost-Benefit (BASE)'!F60/'Cost-Benefit (BASE)'!$B$1*$B$1</f>
        <v>3341049.3</v>
      </c>
      <c r="G60" s="3">
        <f>'Cost-Benefit (BASE)'!G60/'Cost-Benefit (BASE)'!$B$1*$B$1</f>
        <v>4729637.7240000004</v>
      </c>
      <c r="H60" s="3">
        <f>'Cost-Benefit (BASE)'!H60/'Cost-Benefit (BASE)'!$B$1*$B$1</f>
        <v>3682118.4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218207472.32244053</v>
      </c>
      <c r="F61" s="4">
        <f>F$6-F60</f>
        <v>0</v>
      </c>
      <c r="G61" s="4">
        <f t="shared" ref="G61:T61" si="9">G$6-G60</f>
        <v>0</v>
      </c>
      <c r="H61" s="4">
        <f t="shared" si="9"/>
        <v>3376814.7719999994</v>
      </c>
      <c r="I61" s="4">
        <f t="shared" si="9"/>
        <v>10189690.776000001</v>
      </c>
      <c r="J61" s="4">
        <f t="shared" si="9"/>
        <v>16210088.808</v>
      </c>
      <c r="K61" s="4">
        <f t="shared" si="9"/>
        <v>20333471.184</v>
      </c>
      <c r="L61" s="4">
        <f t="shared" si="9"/>
        <v>20950625.052000001</v>
      </c>
      <c r="M61" s="4">
        <f t="shared" si="9"/>
        <v>26806816.787999999</v>
      </c>
      <c r="N61" s="4">
        <f t="shared" si="9"/>
        <v>34772009.880000003</v>
      </c>
      <c r="O61" s="4">
        <f t="shared" si="9"/>
        <v>42512327.975999996</v>
      </c>
      <c r="P61" s="4">
        <f t="shared" si="9"/>
        <v>42512327.975999996</v>
      </c>
      <c r="Q61" s="4">
        <f t="shared" si="9"/>
        <v>42512327.975999996</v>
      </c>
      <c r="R61" s="4">
        <f t="shared" si="9"/>
        <v>42512327.975999996</v>
      </c>
      <c r="S61" s="4">
        <f t="shared" si="9"/>
        <v>42512327.975999996</v>
      </c>
      <c r="T61" s="4">
        <f t="shared" si="9"/>
        <v>42512327.975999996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199198061.17622986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229067580.88739845</v>
      </c>
      <c r="F66" s="3">
        <f>'Cost-Benefit (BASE)'!F66/'Cost-Benefit (BASE)'!$B$1*$B$1</f>
        <v>3341049.3</v>
      </c>
      <c r="G66" s="3">
        <f>'Cost-Benefit (BASE)'!G66/'Cost-Benefit (BASE)'!$B$1*$B$1</f>
        <v>4729637.7240000004</v>
      </c>
      <c r="H66" s="3">
        <f>'Cost-Benefit (BASE)'!H66/'Cost-Benefit (BASE)'!$B$1*$B$1</f>
        <v>7050638.9879999999</v>
      </c>
      <c r="I66" s="3">
        <f>'Cost-Benefit (BASE)'!I66/'Cost-Benefit (BASE)'!$B$1*$B$1</f>
        <v>10178685.972000001</v>
      </c>
      <c r="J66" s="3">
        <f>'Cost-Benefit (BASE)'!J66/'Cost-Benefit (BASE)'!$B$1*$B$1</f>
        <v>16194211.344000001</v>
      </c>
      <c r="K66" s="3">
        <f>'Cost-Benefit (BASE)'!K66/'Cost-Benefit (BASE)'!$B$1*$B$1</f>
        <v>20314614.947999999</v>
      </c>
      <c r="L66" s="3">
        <f>'Cost-Benefit (BASE)'!L66/'Cost-Benefit (BASE)'!$B$1*$B$1</f>
        <v>20931889.607999999</v>
      </c>
      <c r="M66" s="3">
        <f>'Cost-Benefit (BASE)'!M66/'Cost-Benefit (BASE)'!$B$1*$B$1</f>
        <v>26784815.255999997</v>
      </c>
      <c r="N66" s="3">
        <f>'Cost-Benefit (BASE)'!N66/'Cost-Benefit (BASE)'!$B$1*$B$1</f>
        <v>34744173.983999997</v>
      </c>
      <c r="O66" s="3">
        <f>'Cost-Benefit (BASE)'!O66/'Cost-Benefit (BASE)'!$B$1*$B$1</f>
        <v>42480385.920000002</v>
      </c>
      <c r="P66" s="3">
        <f>'Cost-Benefit (BASE)'!P66/'Cost-Benefit (BASE)'!$B$1*$B$1</f>
        <v>42480385.920000002</v>
      </c>
      <c r="Q66" s="3">
        <f>'Cost-Benefit (BASE)'!Q66/'Cost-Benefit (BASE)'!$B$1*$B$1</f>
        <v>42480385.920000002</v>
      </c>
      <c r="R66" s="3">
        <f>'Cost-Benefit (BASE)'!R66/'Cost-Benefit (BASE)'!$B$1*$B$1</f>
        <v>42480385.920000002</v>
      </c>
      <c r="S66" s="3">
        <f>'Cost-Benefit (BASE)'!S66/'Cost-Benefit (BASE)'!$B$1*$B$1</f>
        <v>42480385.920000002</v>
      </c>
      <c r="T66" s="3">
        <f>'Cost-Benefit (BASE)'!T66/'Cost-Benefit (BASE)'!$B$1*$B$1</f>
        <v>42480385.920000002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181656.47901197747</v>
      </c>
      <c r="F67" s="4">
        <f>F$6-F66</f>
        <v>0</v>
      </c>
      <c r="G67" s="4">
        <f t="shared" ref="G67:T67" si="10">G$6-G66</f>
        <v>0</v>
      </c>
      <c r="H67" s="4">
        <f t="shared" si="10"/>
        <v>8294.1839999994263</v>
      </c>
      <c r="I67" s="4">
        <f t="shared" si="10"/>
        <v>11004.803999999538</v>
      </c>
      <c r="J67" s="4">
        <f t="shared" si="10"/>
        <v>15877.463999999687</v>
      </c>
      <c r="K67" s="4">
        <f t="shared" si="10"/>
        <v>18856.236000001431</v>
      </c>
      <c r="L67" s="4">
        <f t="shared" si="10"/>
        <v>18735.444000001997</v>
      </c>
      <c r="M67" s="4">
        <f t="shared" si="10"/>
        <v>22001.53200000152</v>
      </c>
      <c r="N67" s="4">
        <f t="shared" si="10"/>
        <v>27835.896000005305</v>
      </c>
      <c r="O67" s="4">
        <f t="shared" si="10"/>
        <v>31942.055999994278</v>
      </c>
      <c r="P67" s="4">
        <f t="shared" si="10"/>
        <v>31942.055999994278</v>
      </c>
      <c r="Q67" s="4">
        <f t="shared" si="10"/>
        <v>31942.055999994278</v>
      </c>
      <c r="R67" s="4">
        <f t="shared" si="10"/>
        <v>31942.055999994278</v>
      </c>
      <c r="S67" s="4">
        <f t="shared" si="10"/>
        <v>31942.055999994278</v>
      </c>
      <c r="T67" s="4">
        <f t="shared" si="10"/>
        <v>31942.055999994278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-12621537.39576146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229067580.88739845</v>
      </c>
      <c r="F72" s="3">
        <f>'Cost-Benefit (BASE)'!F72/'Cost-Benefit (BASE)'!$B$1*$B$1</f>
        <v>3341049.3</v>
      </c>
      <c r="G72" s="3">
        <f>'Cost-Benefit (BASE)'!G72/'Cost-Benefit (BASE)'!$B$1*$B$1</f>
        <v>4729637.7240000004</v>
      </c>
      <c r="H72" s="3">
        <f>'Cost-Benefit (BASE)'!H72/'Cost-Benefit (BASE)'!$B$1*$B$1</f>
        <v>7050638.9879999999</v>
      </c>
      <c r="I72" s="3">
        <f>'Cost-Benefit (BASE)'!I72/'Cost-Benefit (BASE)'!$B$1*$B$1</f>
        <v>10178685.972000001</v>
      </c>
      <c r="J72" s="3">
        <f>'Cost-Benefit (BASE)'!J72/'Cost-Benefit (BASE)'!$B$1*$B$1</f>
        <v>16194211.344000001</v>
      </c>
      <c r="K72" s="3">
        <f>'Cost-Benefit (BASE)'!K72/'Cost-Benefit (BASE)'!$B$1*$B$1</f>
        <v>20314614.947999999</v>
      </c>
      <c r="L72" s="3">
        <f>'Cost-Benefit (BASE)'!L72/'Cost-Benefit (BASE)'!$B$1*$B$1</f>
        <v>20931889.607999999</v>
      </c>
      <c r="M72" s="3">
        <f>'Cost-Benefit (BASE)'!M72/'Cost-Benefit (BASE)'!$B$1*$B$1</f>
        <v>26784815.255999997</v>
      </c>
      <c r="N72" s="3">
        <f>'Cost-Benefit (BASE)'!N72/'Cost-Benefit (BASE)'!$B$1*$B$1</f>
        <v>34744173.983999997</v>
      </c>
      <c r="O72" s="3">
        <f>'Cost-Benefit (BASE)'!O72/'Cost-Benefit (BASE)'!$B$1*$B$1</f>
        <v>42480385.920000002</v>
      </c>
      <c r="P72" s="3">
        <f>'Cost-Benefit (BASE)'!P72/'Cost-Benefit (BASE)'!$B$1*$B$1</f>
        <v>42480385.920000002</v>
      </c>
      <c r="Q72" s="3">
        <f>'Cost-Benefit (BASE)'!Q72/'Cost-Benefit (BASE)'!$B$1*$B$1</f>
        <v>42480385.920000002</v>
      </c>
      <c r="R72" s="3">
        <f>'Cost-Benefit (BASE)'!R72/'Cost-Benefit (BASE)'!$B$1*$B$1</f>
        <v>42480385.920000002</v>
      </c>
      <c r="S72" s="3">
        <f>'Cost-Benefit (BASE)'!S72/'Cost-Benefit (BASE)'!$B$1*$B$1</f>
        <v>42480385.920000002</v>
      </c>
      <c r="T72" s="3">
        <f>'Cost-Benefit (BASE)'!T72/'Cost-Benefit (BASE)'!$B$1*$B$1</f>
        <v>42480385.920000002</v>
      </c>
    </row>
    <row r="73" spans="1:20" x14ac:dyDescent="0.25">
      <c r="A73" s="1" t="s">
        <v>33</v>
      </c>
      <c r="D73" s="3"/>
      <c r="E73" s="3">
        <f>NPV($B$2,G73:T73)+F73</f>
        <v>181656.47901197747</v>
      </c>
      <c r="F73" s="4">
        <f>F$6-F72</f>
        <v>0</v>
      </c>
      <c r="G73" s="4">
        <f t="shared" ref="G73:T73" si="11">G$6-G72</f>
        <v>0</v>
      </c>
      <c r="H73" s="4">
        <f t="shared" si="11"/>
        <v>8294.1839999994263</v>
      </c>
      <c r="I73" s="4">
        <f t="shared" si="11"/>
        <v>11004.803999999538</v>
      </c>
      <c r="J73" s="4">
        <f t="shared" si="11"/>
        <v>15877.463999999687</v>
      </c>
      <c r="K73" s="4">
        <f t="shared" si="11"/>
        <v>18856.236000001431</v>
      </c>
      <c r="L73" s="4">
        <f t="shared" si="11"/>
        <v>18735.444000001997</v>
      </c>
      <c r="M73" s="4">
        <f t="shared" si="11"/>
        <v>22001.53200000152</v>
      </c>
      <c r="N73" s="4">
        <f t="shared" si="11"/>
        <v>27835.896000005305</v>
      </c>
      <c r="O73" s="4">
        <f t="shared" si="11"/>
        <v>31942.055999994278</v>
      </c>
      <c r="P73" s="4">
        <f t="shared" si="11"/>
        <v>31942.055999994278</v>
      </c>
      <c r="Q73" s="4">
        <f t="shared" si="11"/>
        <v>31942.055999994278</v>
      </c>
      <c r="R73" s="4">
        <f t="shared" si="11"/>
        <v>31942.055999994278</v>
      </c>
      <c r="S73" s="4">
        <f t="shared" si="11"/>
        <v>31942.055999994278</v>
      </c>
      <c r="T73" s="4">
        <f t="shared" si="11"/>
        <v>31942.055999994278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-12976466.238206279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5.7109375" bestFit="1" customWidth="1"/>
    <col min="6" max="7" width="12.42578125" bestFit="1" customWidth="1"/>
    <col min="8" max="8" width="13.140625" bestFit="1" customWidth="1"/>
    <col min="9" max="9" width="12" bestFit="1" customWidth="1"/>
    <col min="10" max="14" width="13.140625" bestFit="1" customWidth="1"/>
    <col min="15" max="20" width="13.5703125" bestFit="1" customWidth="1"/>
  </cols>
  <sheetData>
    <row r="1" spans="1:20" s="12" customFormat="1" x14ac:dyDescent="0.25">
      <c r="A1" s="41" t="s">
        <v>36</v>
      </c>
      <c r="B1" s="42">
        <f>'Cost-Benefit (BASE)'!$B$1*0.8</f>
        <v>31552</v>
      </c>
      <c r="C1" s="38"/>
      <c r="D1" s="39"/>
      <c r="E1" s="39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0" x14ac:dyDescent="0.25">
      <c r="A3" s="1"/>
      <c r="B3" s="36"/>
      <c r="C3" s="36"/>
      <c r="D3" s="36"/>
      <c r="E3" s="36" t="s">
        <v>7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0" x14ac:dyDescent="0.25">
      <c r="A6" s="1" t="s">
        <v>0</v>
      </c>
      <c r="B6" s="1"/>
      <c r="C6" s="1"/>
      <c r="D6" s="3"/>
      <c r="E6" s="3">
        <f>NPV($B$2,G6:T6)+F6</f>
        <v>152832824.91094029</v>
      </c>
      <c r="F6" s="3">
        <f>'Cost-Benefit (BASE)'!F6/'Cost-Benefit (BASE)'!$B$1*$B$1</f>
        <v>2227366.2000000002</v>
      </c>
      <c r="G6" s="3">
        <f>'Cost-Benefit (BASE)'!G6/'Cost-Benefit (BASE)'!$B$1*$B$1</f>
        <v>3153091.8160000001</v>
      </c>
      <c r="H6" s="3">
        <f>'Cost-Benefit (BASE)'!H6/'Cost-Benefit (BASE)'!$B$1*$B$1</f>
        <v>4705955.4479999999</v>
      </c>
      <c r="I6" s="3">
        <f>'Cost-Benefit (BASE)'!I6/'Cost-Benefit (BASE)'!$B$1*$B$1</f>
        <v>6793127.1840000004</v>
      </c>
      <c r="J6" s="3">
        <f>'Cost-Benefit (BASE)'!J6/'Cost-Benefit (BASE)'!$B$1*$B$1</f>
        <v>10806725.872</v>
      </c>
      <c r="K6" s="3">
        <f>'Cost-Benefit (BASE)'!K6/'Cost-Benefit (BASE)'!$B$1*$B$1</f>
        <v>13555647.456</v>
      </c>
      <c r="L6" s="3">
        <f>'Cost-Benefit (BASE)'!L6/'Cost-Benefit (BASE)'!$B$1*$B$1</f>
        <v>13967083.368000001</v>
      </c>
      <c r="M6" s="3">
        <f>'Cost-Benefit (BASE)'!M6/'Cost-Benefit (BASE)'!$B$1*$B$1</f>
        <v>17871211.191999998</v>
      </c>
      <c r="N6" s="3">
        <f>'Cost-Benefit (BASE)'!N6/'Cost-Benefit (BASE)'!$B$1*$B$1</f>
        <v>23181339.920000002</v>
      </c>
      <c r="O6" s="3">
        <f>'Cost-Benefit (BASE)'!O6/'Cost-Benefit (BASE)'!$B$1*$B$1</f>
        <v>28341551.983999997</v>
      </c>
      <c r="P6" s="3">
        <f>'Cost-Benefit (BASE)'!P6/'Cost-Benefit (BASE)'!$B$1*$B$1</f>
        <v>28341551.983999997</v>
      </c>
      <c r="Q6" s="3">
        <f>'Cost-Benefit (BASE)'!Q6/'Cost-Benefit (BASE)'!$B$1*$B$1</f>
        <v>28341551.983999997</v>
      </c>
      <c r="R6" s="3">
        <f>'Cost-Benefit (BASE)'!R6/'Cost-Benefit (BASE)'!$B$1*$B$1</f>
        <v>28341551.983999997</v>
      </c>
      <c r="S6" s="3">
        <f>'Cost-Benefit (BASE)'!S6/'Cost-Benefit (BASE)'!$B$1*$B$1</f>
        <v>28341551.983999997</v>
      </c>
      <c r="T6" s="3">
        <f>'Cost-Benefit (BASE)'!T6/'Cost-Benefit (BASE)'!$B$1*$B$1</f>
        <v>28341551.983999997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5191634.1477296231</v>
      </c>
      <c r="F12" s="3">
        <f>'Cost-Benefit (BASE)'!F12/'Cost-Benefit (BASE)'!$B$1*$B$1</f>
        <v>2227366.2000000002</v>
      </c>
      <c r="G12" s="3">
        <f>'Cost-Benefit (BASE)'!G12/'Cost-Benefit (BASE)'!$B$1*$B$1</f>
        <v>3153091.8160000001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147641190.76321068</v>
      </c>
      <c r="F13" s="4">
        <f>F$6-F12</f>
        <v>0</v>
      </c>
      <c r="G13" s="4">
        <f t="shared" ref="G13:T13" si="1">G$6-G12</f>
        <v>0</v>
      </c>
      <c r="H13" s="4">
        <f t="shared" si="1"/>
        <v>4705955.4479999999</v>
      </c>
      <c r="I13" s="4">
        <f t="shared" si="1"/>
        <v>6793127.1840000004</v>
      </c>
      <c r="J13" s="4">
        <f t="shared" si="1"/>
        <v>10806725.872</v>
      </c>
      <c r="K13" s="4">
        <f t="shared" si="1"/>
        <v>13555647.456</v>
      </c>
      <c r="L13" s="4">
        <f t="shared" si="1"/>
        <v>13967083.368000001</v>
      </c>
      <c r="M13" s="4">
        <f t="shared" si="1"/>
        <v>17871211.191999998</v>
      </c>
      <c r="N13" s="4">
        <f t="shared" si="1"/>
        <v>23181339.920000002</v>
      </c>
      <c r="O13" s="4">
        <f t="shared" si="1"/>
        <v>28341551.983999997</v>
      </c>
      <c r="P13" s="4">
        <f t="shared" si="1"/>
        <v>28341551.983999997</v>
      </c>
      <c r="Q13" s="4">
        <f t="shared" si="1"/>
        <v>28341551.983999997</v>
      </c>
      <c r="R13" s="4">
        <f t="shared" si="1"/>
        <v>28341551.983999997</v>
      </c>
      <c r="S13" s="4">
        <f t="shared" si="1"/>
        <v>28341551.983999997</v>
      </c>
      <c r="T13" s="4">
        <f t="shared" si="1"/>
        <v>28341551.983999997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16706649.584806196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130934541.17840448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5191634.1477296231</v>
      </c>
      <c r="F18" s="3">
        <f>'Cost-Benefit (BASE)'!F18/'Cost-Benefit (BASE)'!$B$1*$B$1</f>
        <v>2227366.2000000002</v>
      </c>
      <c r="G18" s="3">
        <f>'Cost-Benefit (BASE)'!G18/'Cost-Benefit (BASE)'!$B$1*$B$1</f>
        <v>3153091.8160000001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147641190.76321068</v>
      </c>
      <c r="F19" s="4">
        <f>F$6-F18</f>
        <v>0</v>
      </c>
      <c r="G19" s="4">
        <f t="shared" ref="G19:T19" si="2">G$6-G18</f>
        <v>0</v>
      </c>
      <c r="H19" s="4">
        <f t="shared" si="2"/>
        <v>4705955.4479999999</v>
      </c>
      <c r="I19" s="4">
        <f t="shared" si="2"/>
        <v>6793127.1840000004</v>
      </c>
      <c r="J19" s="4">
        <f t="shared" si="2"/>
        <v>10806725.872</v>
      </c>
      <c r="K19" s="4">
        <f t="shared" si="2"/>
        <v>13555647.456</v>
      </c>
      <c r="L19" s="4">
        <f t="shared" si="2"/>
        <v>13967083.368000001</v>
      </c>
      <c r="M19" s="4">
        <f t="shared" si="2"/>
        <v>17871211.191999998</v>
      </c>
      <c r="N19" s="4">
        <f t="shared" si="2"/>
        <v>23181339.920000002</v>
      </c>
      <c r="O19" s="4">
        <f t="shared" si="2"/>
        <v>28341551.983999997</v>
      </c>
      <c r="P19" s="4">
        <f t="shared" si="2"/>
        <v>28341551.983999997</v>
      </c>
      <c r="Q19" s="4">
        <f t="shared" si="2"/>
        <v>28341551.983999997</v>
      </c>
      <c r="R19" s="4">
        <f t="shared" si="2"/>
        <v>28341551.983999997</v>
      </c>
      <c r="S19" s="4">
        <f t="shared" si="2"/>
        <v>28341551.983999997</v>
      </c>
      <c r="T19" s="4">
        <f t="shared" si="2"/>
        <v>28341551.983999997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12600280.842824917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135040909.92038578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5191634.1477296231</v>
      </c>
      <c r="F24" s="3">
        <f>'Cost-Benefit (BASE)'!F24/'Cost-Benefit (BASE)'!$B$1*$B$1</f>
        <v>2227366.2000000002</v>
      </c>
      <c r="G24" s="3">
        <f>'Cost-Benefit (BASE)'!G24/'Cost-Benefit (BASE)'!$B$1*$B$1</f>
        <v>3153091.8160000001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147641190.76321068</v>
      </c>
      <c r="F25" s="4">
        <f>F$6-F24</f>
        <v>0</v>
      </c>
      <c r="G25" s="4">
        <f t="shared" ref="G25:T25" si="3">G$6-G24</f>
        <v>0</v>
      </c>
      <c r="H25" s="4">
        <f t="shared" si="3"/>
        <v>4705955.4479999999</v>
      </c>
      <c r="I25" s="4">
        <f t="shared" si="3"/>
        <v>6793127.1840000004</v>
      </c>
      <c r="J25" s="4">
        <f t="shared" si="3"/>
        <v>10806725.872</v>
      </c>
      <c r="K25" s="4">
        <f t="shared" si="3"/>
        <v>13555647.456</v>
      </c>
      <c r="L25" s="4">
        <f t="shared" si="3"/>
        <v>13967083.368000001</v>
      </c>
      <c r="M25" s="4">
        <f t="shared" si="3"/>
        <v>17871211.191999998</v>
      </c>
      <c r="N25" s="4">
        <f t="shared" si="3"/>
        <v>23181339.920000002</v>
      </c>
      <c r="O25" s="4">
        <f t="shared" si="3"/>
        <v>28341551.983999997</v>
      </c>
      <c r="P25" s="4">
        <f t="shared" si="3"/>
        <v>28341551.983999997</v>
      </c>
      <c r="Q25" s="4">
        <f t="shared" si="3"/>
        <v>28341551.983999997</v>
      </c>
      <c r="R25" s="4">
        <f t="shared" si="3"/>
        <v>28341551.983999997</v>
      </c>
      <c r="S25" s="4">
        <f t="shared" si="3"/>
        <v>28341551.983999997</v>
      </c>
      <c r="T25" s="4">
        <f t="shared" si="3"/>
        <v>28341551.983999997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16947354.74414866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130693836.01906203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5191634.1477296231</v>
      </c>
      <c r="F30" s="3">
        <f>'Cost-Benefit (BASE)'!F30/'Cost-Benefit (BASE)'!$B$1*$B$1</f>
        <v>2227366.2000000002</v>
      </c>
      <c r="G30" s="3">
        <f>'Cost-Benefit (BASE)'!G30/'Cost-Benefit (BASE)'!$B$1*$B$1</f>
        <v>3153091.8160000001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147641190.76321068</v>
      </c>
      <c r="F31" s="4">
        <f>F$6-F30</f>
        <v>0</v>
      </c>
      <c r="G31" s="4">
        <f t="shared" ref="G31:T31" si="4">G$6-G30</f>
        <v>0</v>
      </c>
      <c r="H31" s="4">
        <f t="shared" si="4"/>
        <v>4705955.4479999999</v>
      </c>
      <c r="I31" s="4">
        <f t="shared" si="4"/>
        <v>6793127.1840000004</v>
      </c>
      <c r="J31" s="4">
        <f t="shared" si="4"/>
        <v>10806725.872</v>
      </c>
      <c r="K31" s="4">
        <f t="shared" si="4"/>
        <v>13555647.456</v>
      </c>
      <c r="L31" s="4">
        <f t="shared" si="4"/>
        <v>13967083.368000001</v>
      </c>
      <c r="M31" s="4">
        <f t="shared" si="4"/>
        <v>17871211.191999998</v>
      </c>
      <c r="N31" s="4">
        <f t="shared" si="4"/>
        <v>23181339.920000002</v>
      </c>
      <c r="O31" s="4">
        <f t="shared" si="4"/>
        <v>28341551.983999997</v>
      </c>
      <c r="P31" s="4">
        <f t="shared" si="4"/>
        <v>28341551.983999997</v>
      </c>
      <c r="Q31" s="4">
        <f t="shared" si="4"/>
        <v>28341551.983999997</v>
      </c>
      <c r="R31" s="4">
        <f t="shared" si="4"/>
        <v>28341551.983999997</v>
      </c>
      <c r="S31" s="4">
        <f t="shared" si="4"/>
        <v>28341551.983999997</v>
      </c>
      <c r="T31" s="4">
        <f t="shared" si="4"/>
        <v>28341551.983999997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12905270.737697538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134735920.02551314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5191634.1477296231</v>
      </c>
      <c r="F36" s="3">
        <f>'Cost-Benefit (BASE)'!F36/'Cost-Benefit (BASE)'!$B$1*$B$1</f>
        <v>2227366.2000000002</v>
      </c>
      <c r="G36" s="3">
        <f>'Cost-Benefit (BASE)'!G36/'Cost-Benefit (BASE)'!$B$1*$B$1</f>
        <v>3153091.8160000001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147641190.76321068</v>
      </c>
      <c r="F37" s="4">
        <f>F$6-F36</f>
        <v>0</v>
      </c>
      <c r="G37" s="4">
        <f t="shared" ref="G37:T37" si="5">G$6-G36</f>
        <v>0</v>
      </c>
      <c r="H37" s="4">
        <f t="shared" si="5"/>
        <v>4705955.4479999999</v>
      </c>
      <c r="I37" s="4">
        <f t="shared" si="5"/>
        <v>6793127.1840000004</v>
      </c>
      <c r="J37" s="4">
        <f t="shared" si="5"/>
        <v>10806725.872</v>
      </c>
      <c r="K37" s="4">
        <f t="shared" si="5"/>
        <v>13555647.456</v>
      </c>
      <c r="L37" s="4">
        <f t="shared" si="5"/>
        <v>13967083.368000001</v>
      </c>
      <c r="M37" s="4">
        <f t="shared" si="5"/>
        <v>17871211.191999998</v>
      </c>
      <c r="N37" s="4">
        <f t="shared" si="5"/>
        <v>23181339.920000002</v>
      </c>
      <c r="O37" s="4">
        <f t="shared" si="5"/>
        <v>28341551.983999997</v>
      </c>
      <c r="P37" s="4">
        <f t="shared" si="5"/>
        <v>28341551.983999997</v>
      </c>
      <c r="Q37" s="4">
        <f t="shared" si="5"/>
        <v>28341551.983999997</v>
      </c>
      <c r="R37" s="4">
        <f t="shared" si="5"/>
        <v>28341551.983999997</v>
      </c>
      <c r="S37" s="4">
        <f t="shared" si="5"/>
        <v>28341551.983999997</v>
      </c>
      <c r="T37" s="4">
        <f t="shared" si="5"/>
        <v>28341551.983999997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19727480.316670034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127913710.44654065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5191634.1477296231</v>
      </c>
      <c r="F42" s="3">
        <f>'Cost-Benefit (BASE)'!F42/'Cost-Benefit (BASE)'!$B$1*$B$1</f>
        <v>2227366.2000000002</v>
      </c>
      <c r="G42" s="3">
        <f>'Cost-Benefit (BASE)'!G42/'Cost-Benefit (BASE)'!$B$1*$B$1</f>
        <v>3153091.8160000001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147641190.76321068</v>
      </c>
      <c r="F43" s="4">
        <f>F$6-F42</f>
        <v>0</v>
      </c>
      <c r="G43" s="4">
        <f t="shared" ref="G43:T43" si="6">G$6-G42</f>
        <v>0</v>
      </c>
      <c r="H43" s="4">
        <f t="shared" si="6"/>
        <v>4705955.4479999999</v>
      </c>
      <c r="I43" s="4">
        <f t="shared" si="6"/>
        <v>6793127.1840000004</v>
      </c>
      <c r="J43" s="4">
        <f t="shared" si="6"/>
        <v>10806725.872</v>
      </c>
      <c r="K43" s="4">
        <f t="shared" si="6"/>
        <v>13555647.456</v>
      </c>
      <c r="L43" s="4">
        <f t="shared" si="6"/>
        <v>13967083.368000001</v>
      </c>
      <c r="M43" s="4">
        <f t="shared" si="6"/>
        <v>17871211.191999998</v>
      </c>
      <c r="N43" s="4">
        <f t="shared" si="6"/>
        <v>23181339.920000002</v>
      </c>
      <c r="O43" s="4">
        <f t="shared" si="6"/>
        <v>28341551.983999997</v>
      </c>
      <c r="P43" s="4">
        <f t="shared" si="6"/>
        <v>28341551.983999997</v>
      </c>
      <c r="Q43" s="4">
        <f t="shared" si="6"/>
        <v>28341551.983999997</v>
      </c>
      <c r="R43" s="4">
        <f t="shared" si="6"/>
        <v>28341551.983999997</v>
      </c>
      <c r="S43" s="4">
        <f t="shared" si="6"/>
        <v>28341551.983999997</v>
      </c>
      <c r="T43" s="4">
        <f t="shared" si="6"/>
        <v>28341551.983999997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45588156.854561381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102053033.9086493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5194370.2981970217</v>
      </c>
      <c r="F48" s="3">
        <f>'Cost-Benefit (BASE)'!F48/'Cost-Benefit (BASE)'!$B$1*$B$1</f>
        <v>2227366.2000000002</v>
      </c>
      <c r="G48" s="3">
        <f>'Cost-Benefit (BASE)'!G48/'Cost-Benefit (BASE)'!$B$1*$B$1</f>
        <v>3153091.8160000001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95.504000000000005</v>
      </c>
      <c r="K48" s="3">
        <f>'Cost-Benefit (BASE)'!K48/'Cost-Benefit (BASE)'!$B$1*$B$1</f>
        <v>208.66399999999999</v>
      </c>
      <c r="L48" s="3">
        <f>'Cost-Benefit (BASE)'!L48/'Cost-Benefit (BASE)'!$B$1*$B$1</f>
        <v>211.49600000000001</v>
      </c>
      <c r="M48" s="3">
        <f>'Cost-Benefit (BASE)'!M48/'Cost-Benefit (BASE)'!$B$1*$B$1</f>
        <v>305.85599999999999</v>
      </c>
      <c r="N48" s="3">
        <f>'Cost-Benefit (BASE)'!N48/'Cost-Benefit (BASE)'!$B$1*$B$1</f>
        <v>530.37599999999998</v>
      </c>
      <c r="O48" s="3">
        <f>'Cost-Benefit (BASE)'!O48/'Cost-Benefit (BASE)'!$B$1*$B$1</f>
        <v>620.46400000000006</v>
      </c>
      <c r="P48" s="3">
        <f>'Cost-Benefit (BASE)'!P48/'Cost-Benefit (BASE)'!$B$1*$B$1</f>
        <v>620.46400000000006</v>
      </c>
      <c r="Q48" s="3">
        <f>'Cost-Benefit (BASE)'!Q48/'Cost-Benefit (BASE)'!$B$1*$B$1</f>
        <v>620.46400000000006</v>
      </c>
      <c r="R48" s="3">
        <f>'Cost-Benefit (BASE)'!R48/'Cost-Benefit (BASE)'!$B$1*$B$1</f>
        <v>620.46400000000006</v>
      </c>
      <c r="S48" s="3">
        <f>'Cost-Benefit (BASE)'!S48/'Cost-Benefit (BASE)'!$B$1*$B$1</f>
        <v>620.46400000000006</v>
      </c>
      <c r="T48" s="3">
        <f>'Cost-Benefit (BASE)'!T48/'Cost-Benefit (BASE)'!$B$1*$B$1</f>
        <v>620.46400000000006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147638454.61274329</v>
      </c>
      <c r="F49" s="4">
        <f>F$6-F48</f>
        <v>0</v>
      </c>
      <c r="G49" s="4">
        <f t="shared" ref="G49:T49" si="7">G$6-G48</f>
        <v>0</v>
      </c>
      <c r="H49" s="4">
        <f t="shared" si="7"/>
        <v>4705955.4479999999</v>
      </c>
      <c r="I49" s="4">
        <f t="shared" si="7"/>
        <v>6793127.1840000004</v>
      </c>
      <c r="J49" s="4">
        <f t="shared" si="7"/>
        <v>10806630.367999999</v>
      </c>
      <c r="K49" s="4">
        <f t="shared" si="7"/>
        <v>13555438.791999999</v>
      </c>
      <c r="L49" s="4">
        <f t="shared" si="7"/>
        <v>13966871.872000001</v>
      </c>
      <c r="M49" s="4">
        <f t="shared" si="7"/>
        <v>17870905.335999999</v>
      </c>
      <c r="N49" s="4">
        <f t="shared" si="7"/>
        <v>23180809.544000003</v>
      </c>
      <c r="O49" s="4">
        <f t="shared" si="7"/>
        <v>28340931.519999996</v>
      </c>
      <c r="P49" s="4">
        <f t="shared" si="7"/>
        <v>28340931.519999996</v>
      </c>
      <c r="Q49" s="4">
        <f t="shared" si="7"/>
        <v>28340931.519999996</v>
      </c>
      <c r="R49" s="4">
        <f t="shared" si="7"/>
        <v>28340931.519999996</v>
      </c>
      <c r="S49" s="4">
        <f t="shared" si="7"/>
        <v>28340931.519999996</v>
      </c>
      <c r="T49" s="4">
        <f t="shared" si="7"/>
        <v>28340931.519999996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16484495.38100083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131153959.23174246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5208365.8383330964</v>
      </c>
      <c r="F54" s="3">
        <f>'Cost-Benefit (BASE)'!F54/'Cost-Benefit (BASE)'!$B$1*$B$1</f>
        <v>2227366.2000000002</v>
      </c>
      <c r="G54" s="3">
        <f>'Cost-Benefit (BASE)'!G54/'Cost-Benefit (BASE)'!$B$1*$B$1</f>
        <v>3153091.8160000001</v>
      </c>
      <c r="H54" s="3">
        <f>'Cost-Benefit (BASE)'!H54/'Cost-Benefit (BASE)'!$B$1*$B$1</f>
        <v>18931.2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147624459.07260722</v>
      </c>
      <c r="F55" s="4">
        <f>F$6-F54</f>
        <v>0</v>
      </c>
      <c r="G55" s="4">
        <f t="shared" ref="G55:T55" si="8">G$6-G54</f>
        <v>0</v>
      </c>
      <c r="H55" s="4">
        <f t="shared" si="8"/>
        <v>4687024.2479999997</v>
      </c>
      <c r="I55" s="4">
        <f t="shared" si="8"/>
        <v>6793127.1840000004</v>
      </c>
      <c r="J55" s="4">
        <f t="shared" si="8"/>
        <v>10806725.872</v>
      </c>
      <c r="K55" s="4">
        <f t="shared" si="8"/>
        <v>13555647.456</v>
      </c>
      <c r="L55" s="4">
        <f t="shared" si="8"/>
        <v>13967083.368000001</v>
      </c>
      <c r="M55" s="4">
        <f t="shared" si="8"/>
        <v>17871211.191999998</v>
      </c>
      <c r="N55" s="4">
        <f t="shared" si="8"/>
        <v>23181339.920000002</v>
      </c>
      <c r="O55" s="4">
        <f t="shared" si="8"/>
        <v>28341551.983999997</v>
      </c>
      <c r="P55" s="4">
        <f t="shared" si="8"/>
        <v>28341551.983999997</v>
      </c>
      <c r="Q55" s="4">
        <f t="shared" si="8"/>
        <v>28341551.983999997</v>
      </c>
      <c r="R55" s="4">
        <f t="shared" si="8"/>
        <v>28341551.983999997</v>
      </c>
      <c r="S55" s="4">
        <f t="shared" si="8"/>
        <v>28341551.983999997</v>
      </c>
      <c r="T55" s="4">
        <f t="shared" si="8"/>
        <v>28341551.983999997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13855050.822759256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133769408.24984796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7361176.6959799249</v>
      </c>
      <c r="F60" s="3">
        <f>'Cost-Benefit (BASE)'!F60/'Cost-Benefit (BASE)'!$B$1*$B$1</f>
        <v>2227366.2000000002</v>
      </c>
      <c r="G60" s="3">
        <f>'Cost-Benefit (BASE)'!G60/'Cost-Benefit (BASE)'!$B$1*$B$1</f>
        <v>3153091.8160000001</v>
      </c>
      <c r="H60" s="3">
        <f>'Cost-Benefit (BASE)'!H60/'Cost-Benefit (BASE)'!$B$1*$B$1</f>
        <v>2454745.6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145471648.21496037</v>
      </c>
      <c r="F61" s="4">
        <f>F$6-F60</f>
        <v>0</v>
      </c>
      <c r="G61" s="4">
        <f t="shared" ref="G61:T61" si="9">G$6-G60</f>
        <v>0</v>
      </c>
      <c r="H61" s="4">
        <f t="shared" si="9"/>
        <v>2251209.8479999998</v>
      </c>
      <c r="I61" s="4">
        <f t="shared" si="9"/>
        <v>6793127.1840000004</v>
      </c>
      <c r="J61" s="4">
        <f t="shared" si="9"/>
        <v>10806725.872</v>
      </c>
      <c r="K61" s="4">
        <f t="shared" si="9"/>
        <v>13555647.456</v>
      </c>
      <c r="L61" s="4">
        <f t="shared" si="9"/>
        <v>13967083.368000001</v>
      </c>
      <c r="M61" s="4">
        <f t="shared" si="9"/>
        <v>17871211.191999998</v>
      </c>
      <c r="N61" s="4">
        <f t="shared" si="9"/>
        <v>23181339.920000002</v>
      </c>
      <c r="O61" s="4">
        <f t="shared" si="9"/>
        <v>28341551.983999997</v>
      </c>
      <c r="P61" s="4">
        <f t="shared" si="9"/>
        <v>28341551.983999997</v>
      </c>
      <c r="Q61" s="4">
        <f t="shared" si="9"/>
        <v>28341551.983999997</v>
      </c>
      <c r="R61" s="4">
        <f t="shared" si="9"/>
        <v>28341551.983999997</v>
      </c>
      <c r="S61" s="4">
        <f t="shared" si="9"/>
        <v>28341551.983999997</v>
      </c>
      <c r="T61" s="4">
        <f t="shared" si="9"/>
        <v>28341551.983999997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19009411.146210678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126462237.0687497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152711720.59159899</v>
      </c>
      <c r="F66" s="3">
        <f>'Cost-Benefit (BASE)'!F66/'Cost-Benefit (BASE)'!$B$1*$B$1</f>
        <v>2227366.2000000002</v>
      </c>
      <c r="G66" s="3">
        <f>'Cost-Benefit (BASE)'!G66/'Cost-Benefit (BASE)'!$B$1*$B$1</f>
        <v>3153091.8160000001</v>
      </c>
      <c r="H66" s="3">
        <f>'Cost-Benefit (BASE)'!H66/'Cost-Benefit (BASE)'!$B$1*$B$1</f>
        <v>4700425.9919999996</v>
      </c>
      <c r="I66" s="3">
        <f>'Cost-Benefit (BASE)'!I66/'Cost-Benefit (BASE)'!$B$1*$B$1</f>
        <v>6785790.648000001</v>
      </c>
      <c r="J66" s="3">
        <f>'Cost-Benefit (BASE)'!J66/'Cost-Benefit (BASE)'!$B$1*$B$1</f>
        <v>10796140.896</v>
      </c>
      <c r="K66" s="3">
        <f>'Cost-Benefit (BASE)'!K66/'Cost-Benefit (BASE)'!$B$1*$B$1</f>
        <v>13543076.631999999</v>
      </c>
      <c r="L66" s="3">
        <f>'Cost-Benefit (BASE)'!L66/'Cost-Benefit (BASE)'!$B$1*$B$1</f>
        <v>13954593.071999999</v>
      </c>
      <c r="M66" s="3">
        <f>'Cost-Benefit (BASE)'!M66/'Cost-Benefit (BASE)'!$B$1*$B$1</f>
        <v>17856543.503999997</v>
      </c>
      <c r="N66" s="3">
        <f>'Cost-Benefit (BASE)'!N66/'Cost-Benefit (BASE)'!$B$1*$B$1</f>
        <v>23162782.655999999</v>
      </c>
      <c r="O66" s="3">
        <f>'Cost-Benefit (BASE)'!O66/'Cost-Benefit (BASE)'!$B$1*$B$1</f>
        <v>28320257.280000001</v>
      </c>
      <c r="P66" s="3">
        <f>'Cost-Benefit (BASE)'!P66/'Cost-Benefit (BASE)'!$B$1*$B$1</f>
        <v>28320257.280000001</v>
      </c>
      <c r="Q66" s="3">
        <f>'Cost-Benefit (BASE)'!Q66/'Cost-Benefit (BASE)'!$B$1*$B$1</f>
        <v>28320257.280000001</v>
      </c>
      <c r="R66" s="3">
        <f>'Cost-Benefit (BASE)'!R66/'Cost-Benefit (BASE)'!$B$1*$B$1</f>
        <v>28320257.280000001</v>
      </c>
      <c r="S66" s="3">
        <f>'Cost-Benefit (BASE)'!S66/'Cost-Benefit (BASE)'!$B$1*$B$1</f>
        <v>28320257.280000001</v>
      </c>
      <c r="T66" s="3">
        <f>'Cost-Benefit (BASE)'!T66/'Cost-Benefit (BASE)'!$B$1*$B$1</f>
        <v>28320257.280000001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121104.31934131829</v>
      </c>
      <c r="F67" s="4">
        <f>F$6-F66</f>
        <v>0</v>
      </c>
      <c r="G67" s="4">
        <f t="shared" ref="G67:T67" si="10">G$6-G66</f>
        <v>0</v>
      </c>
      <c r="H67" s="4">
        <f t="shared" si="10"/>
        <v>5529.4560000002384</v>
      </c>
      <c r="I67" s="4">
        <f t="shared" si="10"/>
        <v>7336.5359999993816</v>
      </c>
      <c r="J67" s="4">
        <f t="shared" si="10"/>
        <v>10584.975999999791</v>
      </c>
      <c r="K67" s="4">
        <f t="shared" si="10"/>
        <v>12570.824000000954</v>
      </c>
      <c r="L67" s="4">
        <f t="shared" si="10"/>
        <v>12490.296000001952</v>
      </c>
      <c r="M67" s="4">
        <f t="shared" si="10"/>
        <v>14667.688000001013</v>
      </c>
      <c r="N67" s="4">
        <f t="shared" si="10"/>
        <v>18557.264000002295</v>
      </c>
      <c r="O67" s="4">
        <f t="shared" si="10"/>
        <v>21294.703999996185</v>
      </c>
      <c r="P67" s="4">
        <f t="shared" si="10"/>
        <v>21294.703999996185</v>
      </c>
      <c r="Q67" s="4">
        <f t="shared" si="10"/>
        <v>21294.703999996185</v>
      </c>
      <c r="R67" s="4">
        <f t="shared" si="10"/>
        <v>21294.703999996185</v>
      </c>
      <c r="S67" s="4">
        <f t="shared" si="10"/>
        <v>21294.703999996185</v>
      </c>
      <c r="T67" s="4">
        <f t="shared" si="10"/>
        <v>21294.703999996185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12803193.874773437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-12682089.555432118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152711720.59159899</v>
      </c>
      <c r="F72" s="3">
        <f>'Cost-Benefit (BASE)'!F72/'Cost-Benefit (BASE)'!$B$1*$B$1</f>
        <v>2227366.2000000002</v>
      </c>
      <c r="G72" s="3">
        <f>'Cost-Benefit (BASE)'!G72/'Cost-Benefit (BASE)'!$B$1*$B$1</f>
        <v>3153091.8160000001</v>
      </c>
      <c r="H72" s="3">
        <f>'Cost-Benefit (BASE)'!H72/'Cost-Benefit (BASE)'!$B$1*$B$1</f>
        <v>4700425.9919999996</v>
      </c>
      <c r="I72" s="3">
        <f>'Cost-Benefit (BASE)'!I72/'Cost-Benefit (BASE)'!$B$1*$B$1</f>
        <v>6785790.648000001</v>
      </c>
      <c r="J72" s="3">
        <f>'Cost-Benefit (BASE)'!J72/'Cost-Benefit (BASE)'!$B$1*$B$1</f>
        <v>10796140.896</v>
      </c>
      <c r="K72" s="3">
        <f>'Cost-Benefit (BASE)'!K72/'Cost-Benefit (BASE)'!$B$1*$B$1</f>
        <v>13543076.631999999</v>
      </c>
      <c r="L72" s="3">
        <f>'Cost-Benefit (BASE)'!L72/'Cost-Benefit (BASE)'!$B$1*$B$1</f>
        <v>13954593.071999999</v>
      </c>
      <c r="M72" s="3">
        <f>'Cost-Benefit (BASE)'!M72/'Cost-Benefit (BASE)'!$B$1*$B$1</f>
        <v>17856543.503999997</v>
      </c>
      <c r="N72" s="3">
        <f>'Cost-Benefit (BASE)'!N72/'Cost-Benefit (BASE)'!$B$1*$B$1</f>
        <v>23162782.655999999</v>
      </c>
      <c r="O72" s="3">
        <f>'Cost-Benefit (BASE)'!O72/'Cost-Benefit (BASE)'!$B$1*$B$1</f>
        <v>28320257.280000001</v>
      </c>
      <c r="P72" s="3">
        <f>'Cost-Benefit (BASE)'!P72/'Cost-Benefit (BASE)'!$B$1*$B$1</f>
        <v>28320257.280000001</v>
      </c>
      <c r="Q72" s="3">
        <f>'Cost-Benefit (BASE)'!Q72/'Cost-Benefit (BASE)'!$B$1*$B$1</f>
        <v>28320257.280000001</v>
      </c>
      <c r="R72" s="3">
        <f>'Cost-Benefit (BASE)'!R72/'Cost-Benefit (BASE)'!$B$1*$B$1</f>
        <v>28320257.280000001</v>
      </c>
      <c r="S72" s="3">
        <f>'Cost-Benefit (BASE)'!S72/'Cost-Benefit (BASE)'!$B$1*$B$1</f>
        <v>28320257.280000001</v>
      </c>
      <c r="T72" s="3">
        <f>'Cost-Benefit (BASE)'!T72/'Cost-Benefit (BASE)'!$B$1*$B$1</f>
        <v>28320257.280000001</v>
      </c>
    </row>
    <row r="73" spans="1:20" x14ac:dyDescent="0.25">
      <c r="A73" s="1" t="s">
        <v>33</v>
      </c>
      <c r="D73" s="3"/>
      <c r="E73" s="3">
        <f>NPV($B$2,G73:T73)+F73</f>
        <v>121104.31934131829</v>
      </c>
      <c r="F73" s="4">
        <f>F$6-F72</f>
        <v>0</v>
      </c>
      <c r="G73" s="4">
        <f t="shared" ref="G73:T73" si="11">G$6-G72</f>
        <v>0</v>
      </c>
      <c r="H73" s="4">
        <f t="shared" si="11"/>
        <v>5529.4560000002384</v>
      </c>
      <c r="I73" s="4">
        <f t="shared" si="11"/>
        <v>7336.5359999993816</v>
      </c>
      <c r="J73" s="4">
        <f t="shared" si="11"/>
        <v>10584.975999999791</v>
      </c>
      <c r="K73" s="4">
        <f t="shared" si="11"/>
        <v>12570.824000000954</v>
      </c>
      <c r="L73" s="4">
        <f t="shared" si="11"/>
        <v>12490.296000001952</v>
      </c>
      <c r="M73" s="4">
        <f t="shared" si="11"/>
        <v>14667.688000001013</v>
      </c>
      <c r="N73" s="4">
        <f t="shared" si="11"/>
        <v>18557.264000002295</v>
      </c>
      <c r="O73" s="4">
        <f t="shared" si="11"/>
        <v>21294.703999996185</v>
      </c>
      <c r="P73" s="4">
        <f t="shared" si="11"/>
        <v>21294.703999996185</v>
      </c>
      <c r="Q73" s="4">
        <f t="shared" si="11"/>
        <v>21294.703999996185</v>
      </c>
      <c r="R73" s="4">
        <f t="shared" si="11"/>
        <v>21294.703999996185</v>
      </c>
      <c r="S73" s="4">
        <f t="shared" si="11"/>
        <v>21294.703999996185</v>
      </c>
      <c r="T73" s="4">
        <f t="shared" si="11"/>
        <v>21294.703999996185</v>
      </c>
    </row>
    <row r="74" spans="1:20" x14ac:dyDescent="0.25">
      <c r="A74" s="1" t="s">
        <v>34</v>
      </c>
      <c r="D74" s="3"/>
      <c r="E74" s="3">
        <f>NPV($B$2,G74:T74)+F74</f>
        <v>13158122.717218256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-13037018.397876937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8.2600000000000007E-2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/>
      <c r="B3" s="36"/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0" x14ac:dyDescent="0.25">
      <c r="A6" s="1" t="s">
        <v>0</v>
      </c>
      <c r="B6" s="1"/>
      <c r="C6" s="1"/>
      <c r="D6" s="3"/>
      <c r="E6" s="3">
        <f>NPV($B$2,G6:T6)+F6</f>
        <v>164499130.94824448</v>
      </c>
      <c r="F6" s="3">
        <f>'Cost-Benefit (BASE)'!F6/'Cost-Benefit (BASE)'!$B$1*$B$1</f>
        <v>2784207.75</v>
      </c>
      <c r="G6" s="3">
        <f>'Cost-Benefit (BASE)'!G6/'Cost-Benefit (BASE)'!$B$1*$B$1</f>
        <v>3941364.7700000005</v>
      </c>
      <c r="H6" s="3">
        <f>'Cost-Benefit (BASE)'!H6/'Cost-Benefit (BASE)'!$B$1*$B$1</f>
        <v>5882444.3099999996</v>
      </c>
      <c r="I6" s="3">
        <f>'Cost-Benefit (BASE)'!I6/'Cost-Benefit (BASE)'!$B$1*$B$1</f>
        <v>8491408.9800000004</v>
      </c>
      <c r="J6" s="3">
        <f>'Cost-Benefit (BASE)'!J6/'Cost-Benefit (BASE)'!$B$1*$B$1</f>
        <v>13508407.34</v>
      </c>
      <c r="K6" s="3">
        <f>'Cost-Benefit (BASE)'!K6/'Cost-Benefit (BASE)'!$B$1*$B$1</f>
        <v>16944559.32</v>
      </c>
      <c r="L6" s="3">
        <f>'Cost-Benefit (BASE)'!L6/'Cost-Benefit (BASE)'!$B$1*$B$1</f>
        <v>17458854.210000001</v>
      </c>
      <c r="M6" s="3">
        <f>'Cost-Benefit (BASE)'!M6/'Cost-Benefit (BASE)'!$B$1*$B$1</f>
        <v>22339013.989999998</v>
      </c>
      <c r="N6" s="3">
        <f>'Cost-Benefit (BASE)'!N6/'Cost-Benefit (BASE)'!$B$1*$B$1</f>
        <v>28976674.899999999</v>
      </c>
      <c r="O6" s="3">
        <f>'Cost-Benefit (BASE)'!O6/'Cost-Benefit (BASE)'!$B$1*$B$1</f>
        <v>35426939.979999997</v>
      </c>
      <c r="P6" s="3">
        <f>'Cost-Benefit (BASE)'!P6/'Cost-Benefit (BASE)'!$B$1*$B$1</f>
        <v>35426939.979999997</v>
      </c>
      <c r="Q6" s="3">
        <f>'Cost-Benefit (BASE)'!Q6/'Cost-Benefit (BASE)'!$B$1*$B$1</f>
        <v>35426939.979999997</v>
      </c>
      <c r="R6" s="3">
        <f>'Cost-Benefit (BASE)'!R6/'Cost-Benefit (BASE)'!$B$1*$B$1</f>
        <v>35426939.979999997</v>
      </c>
      <c r="S6" s="3">
        <f>'Cost-Benefit (BASE)'!S6/'Cost-Benefit (BASE)'!$B$1*$B$1</f>
        <v>35426939.979999997</v>
      </c>
      <c r="T6" s="3">
        <f>'Cost-Benefit (BASE)'!T6/'Cost-Benefit (BASE)'!$B$1*$B$1</f>
        <v>35426939.979999997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6424855.052789581</v>
      </c>
      <c r="F12" s="3">
        <f>'Cost-Benefit (BASE)'!F12/'Cost-Benefit (BASE)'!$B$1*$B$1</f>
        <v>2784207.75</v>
      </c>
      <c r="G12" s="3">
        <f>'Cost-Benefit (BASE)'!G12/'Cost-Benefit (BASE)'!$B$1*$B$1</f>
        <v>3941364.7700000005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158074275.89545491</v>
      </c>
      <c r="F13" s="4">
        <f>F$6-F12</f>
        <v>0</v>
      </c>
      <c r="G13" s="4">
        <f t="shared" ref="G13:T13" si="1">G$6-G12</f>
        <v>0</v>
      </c>
      <c r="H13" s="4">
        <f t="shared" si="1"/>
        <v>5882444.3099999996</v>
      </c>
      <c r="I13" s="4">
        <f t="shared" si="1"/>
        <v>8491408.9800000004</v>
      </c>
      <c r="J13" s="4">
        <f t="shared" si="1"/>
        <v>13508407.34</v>
      </c>
      <c r="K13" s="4">
        <f t="shared" si="1"/>
        <v>16944559.32</v>
      </c>
      <c r="L13" s="4">
        <f t="shared" si="1"/>
        <v>17458854.210000001</v>
      </c>
      <c r="M13" s="4">
        <f t="shared" si="1"/>
        <v>22339013.989999998</v>
      </c>
      <c r="N13" s="4">
        <f t="shared" si="1"/>
        <v>28976674.899999999</v>
      </c>
      <c r="O13" s="4">
        <f t="shared" si="1"/>
        <v>35426939.979999997</v>
      </c>
      <c r="P13" s="4">
        <f t="shared" si="1"/>
        <v>35426939.979999997</v>
      </c>
      <c r="Q13" s="4">
        <f t="shared" si="1"/>
        <v>35426939.979999997</v>
      </c>
      <c r="R13" s="4">
        <f t="shared" si="1"/>
        <v>35426939.979999997</v>
      </c>
      <c r="S13" s="4">
        <f t="shared" si="1"/>
        <v>35426939.979999997</v>
      </c>
      <c r="T13" s="4">
        <f t="shared" si="1"/>
        <v>35426939.979999997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15009539.652219538</v>
      </c>
      <c r="F14" s="3">
        <f>'Option Costs'!F7</f>
        <v>0</v>
      </c>
      <c r="G14" s="3">
        <f>'Option Costs'!G7</f>
        <v>0</v>
      </c>
      <c r="H14" s="3">
        <f>'Option Costs'!H7</f>
        <v>11253388.355271883</v>
      </c>
      <c r="I14" s="3">
        <f>'Option Costs'!I7</f>
        <v>173020.84596230517</v>
      </c>
      <c r="J14" s="3">
        <f>'Option Costs'!J7</f>
        <v>177346.36711136278</v>
      </c>
      <c r="K14" s="3">
        <f>'Option Costs'!K7</f>
        <v>181780.02628914683</v>
      </c>
      <c r="L14" s="3">
        <f>'Option Costs'!L7</f>
        <v>186324.5269463755</v>
      </c>
      <c r="M14" s="3">
        <f>'Option Costs'!M7</f>
        <v>190982.64012003486</v>
      </c>
      <c r="N14" s="3">
        <f>'Option Costs'!N7</f>
        <v>195757.20612303572</v>
      </c>
      <c r="O14" s="3">
        <f>'Option Costs'!O7</f>
        <v>200651.13627611159</v>
      </c>
      <c r="P14" s="3">
        <f>'Option Costs'!P7</f>
        <v>205667.41468301436</v>
      </c>
      <c r="Q14" s="3">
        <f>'Option Costs'!Q7</f>
        <v>210809.10005008971</v>
      </c>
      <c r="R14" s="3">
        <f>'Option Costs'!R7</f>
        <v>216079.32755134194</v>
      </c>
      <c r="S14" s="3">
        <f>'Option Costs'!S7</f>
        <v>221481.31074012545</v>
      </c>
      <c r="T14" s="3">
        <f>'Option Costs'!T7</f>
        <v>12908973.263219086</v>
      </c>
    </row>
    <row r="15" spans="1:20" x14ac:dyDescent="0.25">
      <c r="A15" s="1" t="s">
        <v>35</v>
      </c>
      <c r="E15" s="4">
        <f>E13-E14</f>
        <v>143064736.24323538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6424855.052789581</v>
      </c>
      <c r="F18" s="3">
        <f>'Cost-Benefit (BASE)'!F18/'Cost-Benefit (BASE)'!$B$1*$B$1</f>
        <v>2784207.75</v>
      </c>
      <c r="G18" s="3">
        <f>'Cost-Benefit (BASE)'!G18/'Cost-Benefit (BASE)'!$B$1*$B$1</f>
        <v>3941364.7700000005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158074275.89545491</v>
      </c>
      <c r="F19" s="4">
        <f>F$6-F18</f>
        <v>0</v>
      </c>
      <c r="G19" s="4">
        <f t="shared" ref="G19:T19" si="2">G$6-G18</f>
        <v>0</v>
      </c>
      <c r="H19" s="4">
        <f t="shared" si="2"/>
        <v>5882444.3099999996</v>
      </c>
      <c r="I19" s="4">
        <f t="shared" si="2"/>
        <v>8491408.9800000004</v>
      </c>
      <c r="J19" s="4">
        <f t="shared" si="2"/>
        <v>13508407.34</v>
      </c>
      <c r="K19" s="4">
        <f t="shared" si="2"/>
        <v>16944559.32</v>
      </c>
      <c r="L19" s="4">
        <f t="shared" si="2"/>
        <v>17458854.210000001</v>
      </c>
      <c r="M19" s="4">
        <f t="shared" si="2"/>
        <v>22339013.989999998</v>
      </c>
      <c r="N19" s="4">
        <f t="shared" si="2"/>
        <v>28976674.899999999</v>
      </c>
      <c r="O19" s="4">
        <f t="shared" si="2"/>
        <v>35426939.979999997</v>
      </c>
      <c r="P19" s="4">
        <f t="shared" si="2"/>
        <v>35426939.979999997</v>
      </c>
      <c r="Q19" s="4">
        <f t="shared" si="2"/>
        <v>35426939.979999997</v>
      </c>
      <c r="R19" s="4">
        <f t="shared" si="2"/>
        <v>35426939.979999997</v>
      </c>
      <c r="S19" s="4">
        <f t="shared" si="2"/>
        <v>35426939.979999997</v>
      </c>
      <c r="T19" s="4">
        <f t="shared" si="2"/>
        <v>35426939.979999997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11094576.404565282</v>
      </c>
      <c r="F20" s="3">
        <f>'Option Costs'!F11</f>
        <v>0</v>
      </c>
      <c r="G20" s="3">
        <f>'Option Costs'!G11</f>
        <v>0</v>
      </c>
      <c r="H20" s="3">
        <f>'Option Costs'!H11</f>
        <v>7187159.4161249986</v>
      </c>
      <c r="I20" s="3">
        <f>'Option Costs'!I11</f>
        <v>110502.57602292183</v>
      </c>
      <c r="J20" s="3">
        <f>'Option Costs'!J11</f>
        <v>113265.14042349487</v>
      </c>
      <c r="K20" s="3">
        <f>'Option Costs'!K11</f>
        <v>116096.76893408224</v>
      </c>
      <c r="L20" s="3">
        <f>'Option Costs'!L11</f>
        <v>118999.18815743428</v>
      </c>
      <c r="M20" s="3">
        <f>'Option Costs'!M11</f>
        <v>121974.16786137014</v>
      </c>
      <c r="N20" s="3">
        <f>'Option Costs'!N11</f>
        <v>125023.52205790438</v>
      </c>
      <c r="O20" s="3">
        <f>'Option Costs'!O11</f>
        <v>128149.11010935198</v>
      </c>
      <c r="P20" s="3">
        <f>'Option Costs'!P11</f>
        <v>131352.83786208578</v>
      </c>
      <c r="Q20" s="3">
        <f>'Option Costs'!Q11</f>
        <v>134636.65880863791</v>
      </c>
      <c r="R20" s="3">
        <f>'Option Costs'!R11</f>
        <v>138002.57527885385</v>
      </c>
      <c r="S20" s="3">
        <f>'Option Costs'!S11</f>
        <v>141452.6396608252</v>
      </c>
      <c r="T20" s="3">
        <f>'Option Costs'!T11</f>
        <v>12826943.875362802</v>
      </c>
    </row>
    <row r="21" spans="1:20" x14ac:dyDescent="0.25">
      <c r="A21" s="1" t="s">
        <v>35</v>
      </c>
      <c r="E21" s="4">
        <f>E19-E20</f>
        <v>146979699.49088964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6424855.052789581</v>
      </c>
      <c r="F24" s="3">
        <f>'Cost-Benefit (BASE)'!F24/'Cost-Benefit (BASE)'!$B$1*$B$1</f>
        <v>2784207.75</v>
      </c>
      <c r="G24" s="3">
        <f>'Cost-Benefit (BASE)'!G24/'Cost-Benefit (BASE)'!$B$1*$B$1</f>
        <v>3941364.7700000005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158074275.89545491</v>
      </c>
      <c r="F25" s="4">
        <f>F$6-F24</f>
        <v>0</v>
      </c>
      <c r="G25" s="4">
        <f t="shared" ref="G25:T25" si="3">G$6-G24</f>
        <v>0</v>
      </c>
      <c r="H25" s="4">
        <f t="shared" si="3"/>
        <v>5882444.3099999996</v>
      </c>
      <c r="I25" s="4">
        <f t="shared" si="3"/>
        <v>8491408.9800000004</v>
      </c>
      <c r="J25" s="4">
        <f t="shared" si="3"/>
        <v>13508407.34</v>
      </c>
      <c r="K25" s="4">
        <f t="shared" si="3"/>
        <v>16944559.32</v>
      </c>
      <c r="L25" s="4">
        <f t="shared" si="3"/>
        <v>17458854.210000001</v>
      </c>
      <c r="M25" s="4">
        <f t="shared" si="3"/>
        <v>22339013.989999998</v>
      </c>
      <c r="N25" s="4">
        <f t="shared" si="3"/>
        <v>28976674.899999999</v>
      </c>
      <c r="O25" s="4">
        <f t="shared" si="3"/>
        <v>35426939.979999997</v>
      </c>
      <c r="P25" s="4">
        <f t="shared" si="3"/>
        <v>35426939.979999997</v>
      </c>
      <c r="Q25" s="4">
        <f t="shared" si="3"/>
        <v>35426939.979999997</v>
      </c>
      <c r="R25" s="4">
        <f t="shared" si="3"/>
        <v>35426939.979999997</v>
      </c>
      <c r="S25" s="4">
        <f t="shared" si="3"/>
        <v>35426939.979999997</v>
      </c>
      <c r="T25" s="4">
        <f t="shared" si="3"/>
        <v>35426939.979999997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15146493.174278691</v>
      </c>
      <c r="F26" s="3">
        <f>'Option Costs'!F15</f>
        <v>0</v>
      </c>
      <c r="G26" s="3">
        <f>'Option Costs'!G15</f>
        <v>0</v>
      </c>
      <c r="H26" s="3">
        <f>'Option Costs'!H15</f>
        <v>9457500.6658358183</v>
      </c>
      <c r="I26" s="3">
        <f>'Option Costs'!I15</f>
        <v>145409.07273722568</v>
      </c>
      <c r="J26" s="3">
        <f>'Option Costs'!J15</f>
        <v>149044.2995556563</v>
      </c>
      <c r="K26" s="3">
        <f>'Option Costs'!K15</f>
        <v>2666937.4082431379</v>
      </c>
      <c r="L26" s="3">
        <f>'Option Costs'!L15</f>
        <v>195244.9848640897</v>
      </c>
      <c r="M26" s="3">
        <f>'Option Costs'!M15</f>
        <v>200126.10948569191</v>
      </c>
      <c r="N26" s="3">
        <f>'Option Costs'!N15</f>
        <v>205129.26222283419</v>
      </c>
      <c r="O26" s="3">
        <f>'Option Costs'!O15</f>
        <v>210257.49377840504</v>
      </c>
      <c r="P26" s="3">
        <f>'Option Costs'!P15</f>
        <v>215513.93112286515</v>
      </c>
      <c r="Q26" s="3">
        <f>'Option Costs'!Q15</f>
        <v>220901.77940093676</v>
      </c>
      <c r="R26" s="3">
        <f>'Option Costs'!R15</f>
        <v>226424.32388596016</v>
      </c>
      <c r="S26" s="3">
        <f>'Option Costs'!S15</f>
        <v>232084.93198310913</v>
      </c>
      <c r="T26" s="3">
        <f>'Option Costs'!T15</f>
        <v>12919841.974993143</v>
      </c>
    </row>
    <row r="27" spans="1:20" x14ac:dyDescent="0.25">
      <c r="A27" s="1" t="s">
        <v>35</v>
      </c>
      <c r="E27" s="4">
        <f>E25-E26</f>
        <v>142927782.72117621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6424855.052789581</v>
      </c>
      <c r="F30" s="3">
        <f>'Cost-Benefit (BASE)'!F30/'Cost-Benefit (BASE)'!$B$1*$B$1</f>
        <v>2784207.75</v>
      </c>
      <c r="G30" s="3">
        <f>'Cost-Benefit (BASE)'!G30/'Cost-Benefit (BASE)'!$B$1*$B$1</f>
        <v>3941364.7700000005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158074275.89545491</v>
      </c>
      <c r="F31" s="4">
        <f>F$6-F30</f>
        <v>0</v>
      </c>
      <c r="G31" s="4">
        <f t="shared" ref="G31:T31" si="4">G$6-G30</f>
        <v>0</v>
      </c>
      <c r="H31" s="4">
        <f t="shared" si="4"/>
        <v>5882444.3099999996</v>
      </c>
      <c r="I31" s="4">
        <f t="shared" si="4"/>
        <v>8491408.9800000004</v>
      </c>
      <c r="J31" s="4">
        <f t="shared" si="4"/>
        <v>13508407.34</v>
      </c>
      <c r="K31" s="4">
        <f t="shared" si="4"/>
        <v>16944559.32</v>
      </c>
      <c r="L31" s="4">
        <f t="shared" si="4"/>
        <v>17458854.210000001</v>
      </c>
      <c r="M31" s="4">
        <f t="shared" si="4"/>
        <v>22339013.989999998</v>
      </c>
      <c r="N31" s="4">
        <f t="shared" si="4"/>
        <v>28976674.899999999</v>
      </c>
      <c r="O31" s="4">
        <f t="shared" si="4"/>
        <v>35426939.979999997</v>
      </c>
      <c r="P31" s="4">
        <f t="shared" si="4"/>
        <v>35426939.979999997</v>
      </c>
      <c r="Q31" s="4">
        <f t="shared" si="4"/>
        <v>35426939.979999997</v>
      </c>
      <c r="R31" s="4">
        <f t="shared" si="4"/>
        <v>35426939.979999997</v>
      </c>
      <c r="S31" s="4">
        <f t="shared" si="4"/>
        <v>35426939.979999997</v>
      </c>
      <c r="T31" s="4">
        <f t="shared" si="4"/>
        <v>35426939.979999997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11292818.230914494</v>
      </c>
      <c r="F32" s="3">
        <f>'Option Costs'!F19</f>
        <v>0</v>
      </c>
      <c r="G32" s="3">
        <f>'Option Costs'!G19</f>
        <v>0</v>
      </c>
      <c r="H32" s="3">
        <f>'Option Costs'!H19</f>
        <v>5454928.0781718735</v>
      </c>
      <c r="I32" s="3">
        <f>'Option Costs'!I19</f>
        <v>83869.519201892545</v>
      </c>
      <c r="J32" s="3">
        <f>'Option Costs'!J19</f>
        <v>85966.257181939844</v>
      </c>
      <c r="K32" s="3">
        <f>'Option Costs'!K19</f>
        <v>2602282.4148100787</v>
      </c>
      <c r="L32" s="3">
        <f>'Option Costs'!L19</f>
        <v>128973.61659520386</v>
      </c>
      <c r="M32" s="3">
        <f>'Option Costs'!M19</f>
        <v>132197.95701008395</v>
      </c>
      <c r="N32" s="3">
        <f>'Option Costs'!N19</f>
        <v>135502.90593533602</v>
      </c>
      <c r="O32" s="3">
        <f>'Option Costs'!O19</f>
        <v>138890.47858371941</v>
      </c>
      <c r="P32" s="3">
        <f>'Option Costs'!P19</f>
        <v>142362.74054831237</v>
      </c>
      <c r="Q32" s="3">
        <f>'Option Costs'!Q19</f>
        <v>145921.80906202018</v>
      </c>
      <c r="R32" s="3">
        <f>'Option Costs'!R19</f>
        <v>149569.85428857067</v>
      </c>
      <c r="S32" s="3">
        <f>'Option Costs'!S19</f>
        <v>153309.10064578493</v>
      </c>
      <c r="T32" s="3">
        <f>'Option Costs'!T19</f>
        <v>12839096.747872386</v>
      </c>
    </row>
    <row r="33" spans="1:20" x14ac:dyDescent="0.25">
      <c r="A33" s="1" t="s">
        <v>35</v>
      </c>
      <c r="E33" s="4">
        <f>E31-E32</f>
        <v>146781457.66454041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6424855.052789581</v>
      </c>
      <c r="F36" s="3">
        <f>'Cost-Benefit (BASE)'!F36/'Cost-Benefit (BASE)'!$B$1*$B$1</f>
        <v>2784207.75</v>
      </c>
      <c r="G36" s="3">
        <f>'Cost-Benefit (BASE)'!G36/'Cost-Benefit (BASE)'!$B$1*$B$1</f>
        <v>3941364.7700000005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158074275.89545491</v>
      </c>
      <c r="F37" s="4">
        <f>F$6-F36</f>
        <v>0</v>
      </c>
      <c r="G37" s="4">
        <f t="shared" ref="G37:T37" si="5">G$6-G36</f>
        <v>0</v>
      </c>
      <c r="H37" s="4">
        <f t="shared" si="5"/>
        <v>5882444.3099999996</v>
      </c>
      <c r="I37" s="4">
        <f t="shared" si="5"/>
        <v>8491408.9800000004</v>
      </c>
      <c r="J37" s="4">
        <f t="shared" si="5"/>
        <v>13508407.34</v>
      </c>
      <c r="K37" s="4">
        <f t="shared" si="5"/>
        <v>16944559.32</v>
      </c>
      <c r="L37" s="4">
        <f t="shared" si="5"/>
        <v>17458854.210000001</v>
      </c>
      <c r="M37" s="4">
        <f t="shared" si="5"/>
        <v>22339013.989999998</v>
      </c>
      <c r="N37" s="4">
        <f t="shared" si="5"/>
        <v>28976674.899999999</v>
      </c>
      <c r="O37" s="4">
        <f t="shared" si="5"/>
        <v>35426939.979999997</v>
      </c>
      <c r="P37" s="4">
        <f t="shared" si="5"/>
        <v>35426939.979999997</v>
      </c>
      <c r="Q37" s="4">
        <f t="shared" si="5"/>
        <v>35426939.979999997</v>
      </c>
      <c r="R37" s="4">
        <f t="shared" si="5"/>
        <v>35426939.979999997</v>
      </c>
      <c r="S37" s="4">
        <f t="shared" si="5"/>
        <v>35426939.979999997</v>
      </c>
      <c r="T37" s="4">
        <f t="shared" si="5"/>
        <v>35426939.979999997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18715413.799211565</v>
      </c>
      <c r="F38" s="3">
        <f>'Option Costs'!F23</f>
        <v>0</v>
      </c>
      <c r="G38" s="3">
        <f>'Option Costs'!G23</f>
        <v>0</v>
      </c>
      <c r="H38" s="3">
        <f>'Option Costs'!H23</f>
        <v>17500404.011134084</v>
      </c>
      <c r="I38" s="3">
        <f>'Option Costs'!I23</f>
        <v>269068.71167118655</v>
      </c>
      <c r="J38" s="3">
        <f>'Option Costs'!J23</f>
        <v>275795.42946296622</v>
      </c>
      <c r="K38" s="3">
        <f>'Option Costs'!K23</f>
        <v>2796857.3163981307</v>
      </c>
      <c r="L38" s="3">
        <f>'Option Costs'!L23</f>
        <v>328412.89072295715</v>
      </c>
      <c r="M38" s="3">
        <f>'Option Costs'!M23</f>
        <v>336623.21299103106</v>
      </c>
      <c r="N38" s="3">
        <f>'Option Costs'!N23</f>
        <v>345038.79331580683</v>
      </c>
      <c r="O38" s="3">
        <f>'Option Costs'!O23</f>
        <v>353664.76314870198</v>
      </c>
      <c r="P38" s="3">
        <f>'Option Costs'!P23</f>
        <v>362506.38222741953</v>
      </c>
      <c r="Q38" s="3">
        <f>'Option Costs'!Q23</f>
        <v>371569.041783105</v>
      </c>
      <c r="R38" s="3">
        <f>'Option Costs'!R23</f>
        <v>380858.2678276826</v>
      </c>
      <c r="S38" s="3">
        <f>'Option Costs'!S23</f>
        <v>390379.72452337464</v>
      </c>
      <c r="T38" s="3">
        <f>'Option Costs'!T23</f>
        <v>400139.21763645898</v>
      </c>
    </row>
    <row r="39" spans="1:20" x14ac:dyDescent="0.25">
      <c r="A39" s="1" t="s">
        <v>35</v>
      </c>
      <c r="E39" s="4">
        <f>E37-E38</f>
        <v>139358862.09624335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6424855.052789581</v>
      </c>
      <c r="F42" s="3">
        <f>'Cost-Benefit (BASE)'!F42/'Cost-Benefit (BASE)'!$B$1*$B$1</f>
        <v>2784207.75</v>
      </c>
      <c r="G42" s="3">
        <f>'Cost-Benefit (BASE)'!G42/'Cost-Benefit (BASE)'!$B$1*$B$1</f>
        <v>3941364.7700000005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158074275.89545491</v>
      </c>
      <c r="F43" s="4">
        <f>F$6-F42</f>
        <v>0</v>
      </c>
      <c r="G43" s="4">
        <f t="shared" ref="G43:T43" si="6">G$6-G42</f>
        <v>0</v>
      </c>
      <c r="H43" s="4">
        <f t="shared" si="6"/>
        <v>5882444.3099999996</v>
      </c>
      <c r="I43" s="4">
        <f t="shared" si="6"/>
        <v>8491408.9800000004</v>
      </c>
      <c r="J43" s="4">
        <f t="shared" si="6"/>
        <v>13508407.34</v>
      </c>
      <c r="K43" s="4">
        <f t="shared" si="6"/>
        <v>16944559.32</v>
      </c>
      <c r="L43" s="4">
        <f t="shared" si="6"/>
        <v>17458854.210000001</v>
      </c>
      <c r="M43" s="4">
        <f t="shared" si="6"/>
        <v>22339013.989999998</v>
      </c>
      <c r="N43" s="4">
        <f t="shared" si="6"/>
        <v>28976674.899999999</v>
      </c>
      <c r="O43" s="4">
        <f t="shared" si="6"/>
        <v>35426939.979999997</v>
      </c>
      <c r="P43" s="4">
        <f t="shared" si="6"/>
        <v>35426939.979999997</v>
      </c>
      <c r="Q43" s="4">
        <f t="shared" si="6"/>
        <v>35426939.979999997</v>
      </c>
      <c r="R43" s="4">
        <f t="shared" si="6"/>
        <v>35426939.979999997</v>
      </c>
      <c r="S43" s="4">
        <f t="shared" si="6"/>
        <v>35426939.979999997</v>
      </c>
      <c r="T43" s="4">
        <f t="shared" si="6"/>
        <v>35426939.979999997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43463207.965048157</v>
      </c>
      <c r="F44" s="3">
        <f>'Option Costs'!F27</f>
        <v>0</v>
      </c>
      <c r="G44" s="3">
        <f>'Option Costs'!G27</f>
        <v>0</v>
      </c>
      <c r="H44" s="3">
        <f>'Option Costs'!H27</f>
        <v>45142532.084185198</v>
      </c>
      <c r="I44" s="3">
        <f>'Option Costs'!I27</f>
        <v>694066.43079434731</v>
      </c>
      <c r="J44" s="3">
        <f>'Option Costs'!J27</f>
        <v>711418.09156420594</v>
      </c>
      <c r="K44" s="3">
        <f>'Option Costs'!K27</f>
        <v>729203.54385331098</v>
      </c>
      <c r="L44" s="3">
        <f>'Option Costs'!L27</f>
        <v>747433.63244964369</v>
      </c>
      <c r="M44" s="3">
        <f>'Option Costs'!M27</f>
        <v>766119.47326088476</v>
      </c>
      <c r="N44" s="3">
        <f>'Option Costs'!N27</f>
        <v>785272.46009240684</v>
      </c>
      <c r="O44" s="3">
        <f>'Option Costs'!O27</f>
        <v>804904.27159471693</v>
      </c>
      <c r="P44" s="3">
        <f>'Option Costs'!P27</f>
        <v>825026.87838458479</v>
      </c>
      <c r="Q44" s="3">
        <f>'Option Costs'!Q27</f>
        <v>845652.55034419929</v>
      </c>
      <c r="R44" s="3">
        <f>'Option Costs'!R27</f>
        <v>866793.86410280422</v>
      </c>
      <c r="S44" s="3">
        <f>'Option Costs'!S27</f>
        <v>888463.71070537425</v>
      </c>
      <c r="T44" s="3">
        <f>'Option Costs'!T27</f>
        <v>910675.30347300856</v>
      </c>
    </row>
    <row r="45" spans="1:20" x14ac:dyDescent="0.25">
      <c r="A45" s="1" t="s">
        <v>35</v>
      </c>
      <c r="E45" s="4">
        <f>E43-E44</f>
        <v>114611067.93040675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6427737.5680788271</v>
      </c>
      <c r="F48" s="3">
        <f>'Cost-Benefit (BASE)'!F48/'Cost-Benefit (BASE)'!$B$1*$B$1</f>
        <v>2784207.75</v>
      </c>
      <c r="G48" s="3">
        <f>'Cost-Benefit (BASE)'!G48/'Cost-Benefit (BASE)'!$B$1*$B$1</f>
        <v>3941364.7700000005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158071393.38016567</v>
      </c>
      <c r="F49" s="4">
        <f>F$6-F48</f>
        <v>0</v>
      </c>
      <c r="G49" s="4">
        <f t="shared" ref="G49:T49" si="7">G$6-G48</f>
        <v>0</v>
      </c>
      <c r="H49" s="4">
        <f t="shared" si="7"/>
        <v>5882444.3099999996</v>
      </c>
      <c r="I49" s="4">
        <f t="shared" si="7"/>
        <v>8491408.9800000004</v>
      </c>
      <c r="J49" s="4">
        <f t="shared" si="7"/>
        <v>13508287.959999999</v>
      </c>
      <c r="K49" s="4">
        <f t="shared" si="7"/>
        <v>16944298.490000002</v>
      </c>
      <c r="L49" s="4">
        <f t="shared" si="7"/>
        <v>17458589.84</v>
      </c>
      <c r="M49" s="4">
        <f t="shared" si="7"/>
        <v>22338631.669999998</v>
      </c>
      <c r="N49" s="4">
        <f t="shared" si="7"/>
        <v>28976011.93</v>
      </c>
      <c r="O49" s="4">
        <f t="shared" si="7"/>
        <v>35426164.399999999</v>
      </c>
      <c r="P49" s="4">
        <f t="shared" si="7"/>
        <v>35426164.399999999</v>
      </c>
      <c r="Q49" s="4">
        <f t="shared" si="7"/>
        <v>35426164.399999999</v>
      </c>
      <c r="R49" s="4">
        <f t="shared" si="7"/>
        <v>35426164.399999999</v>
      </c>
      <c r="S49" s="4">
        <f t="shared" si="7"/>
        <v>35426164.399999999</v>
      </c>
      <c r="T49" s="4">
        <f t="shared" si="7"/>
        <v>35426164.399999999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14612676.62648437</v>
      </c>
      <c r="F50" s="3">
        <f>'Option Costs'!F31</f>
        <v>0</v>
      </c>
      <c r="G50" s="3">
        <f>'Option Costs'!G31</f>
        <v>0</v>
      </c>
      <c r="H50" s="3">
        <f>'Option Costs'!H31</f>
        <v>6964925.8054062482</v>
      </c>
      <c r="I50" s="3">
        <f>'Option Costs'!I31</f>
        <v>107085.73425812105</v>
      </c>
      <c r="J50" s="3">
        <f>'Option Costs'!J31</f>
        <v>109762.87761457407</v>
      </c>
      <c r="K50" s="3">
        <f>'Option Costs'!K31</f>
        <v>5140840.9519521194</v>
      </c>
      <c r="L50" s="3">
        <f>'Option Costs'!L31</f>
        <v>192630.25858066851</v>
      </c>
      <c r="M50" s="3">
        <f>'Option Costs'!M31</f>
        <v>197446.0150451852</v>
      </c>
      <c r="N50" s="3">
        <f>'Option Costs'!N31</f>
        <v>202382.1654213148</v>
      </c>
      <c r="O50" s="3">
        <f>'Option Costs'!O31</f>
        <v>207441.71955684765</v>
      </c>
      <c r="P50" s="3">
        <f>'Option Costs'!P31</f>
        <v>212627.76254576881</v>
      </c>
      <c r="Q50" s="3">
        <f>'Option Costs'!Q31</f>
        <v>217943.45660941303</v>
      </c>
      <c r="R50" s="3">
        <f>'Option Costs'!R31</f>
        <v>223392.04302464833</v>
      </c>
      <c r="S50" s="3">
        <f>'Option Costs'!S31</f>
        <v>228976.84410026451</v>
      </c>
      <c r="T50" s="3">
        <f>'Option Costs'!T31</f>
        <v>12916656.184913229</v>
      </c>
    </row>
    <row r="51" spans="1:20" x14ac:dyDescent="0.25">
      <c r="A51" s="1" t="s">
        <v>35</v>
      </c>
      <c r="E51" s="4">
        <f>E49-E50</f>
        <v>143458716.7536813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6445045.786969522</v>
      </c>
      <c r="F54" s="3">
        <f>'Cost-Benefit (BASE)'!F54/'Cost-Benefit (BASE)'!$B$1*$B$1</f>
        <v>2784207.75</v>
      </c>
      <c r="G54" s="3">
        <f>'Cost-Benefit (BASE)'!G54/'Cost-Benefit (BASE)'!$B$1*$B$1</f>
        <v>3941364.7700000005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158054085.161275</v>
      </c>
      <c r="F55" s="4">
        <f>F$6-F54</f>
        <v>0</v>
      </c>
      <c r="G55" s="4">
        <f t="shared" ref="G55:T55" si="8">G$6-G54</f>
        <v>0</v>
      </c>
      <c r="H55" s="4">
        <f t="shared" si="8"/>
        <v>5858780.3099999996</v>
      </c>
      <c r="I55" s="4">
        <f t="shared" si="8"/>
        <v>8491408.9800000004</v>
      </c>
      <c r="J55" s="4">
        <f t="shared" si="8"/>
        <v>13508407.34</v>
      </c>
      <c r="K55" s="4">
        <f t="shared" si="8"/>
        <v>16944559.32</v>
      </c>
      <c r="L55" s="4">
        <f t="shared" si="8"/>
        <v>17458854.210000001</v>
      </c>
      <c r="M55" s="4">
        <f t="shared" si="8"/>
        <v>22339013.989999998</v>
      </c>
      <c r="N55" s="4">
        <f t="shared" si="8"/>
        <v>28976674.899999999</v>
      </c>
      <c r="O55" s="4">
        <f t="shared" si="8"/>
        <v>35426939.979999997</v>
      </c>
      <c r="P55" s="4">
        <f t="shared" si="8"/>
        <v>35426939.979999997</v>
      </c>
      <c r="Q55" s="4">
        <f t="shared" si="8"/>
        <v>35426939.979999997</v>
      </c>
      <c r="R55" s="4">
        <f t="shared" si="8"/>
        <v>35426939.979999997</v>
      </c>
      <c r="S55" s="4">
        <f t="shared" si="8"/>
        <v>35426939.979999997</v>
      </c>
      <c r="T55" s="4">
        <f t="shared" si="8"/>
        <v>35426939.979999997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12204302.774814559</v>
      </c>
      <c r="F56" s="3">
        <f>'Option Costs'!F35</f>
        <v>0</v>
      </c>
      <c r="G56" s="3">
        <f>'Option Costs'!G35</f>
        <v>0</v>
      </c>
      <c r="H56" s="3">
        <f>'Option Costs'!H35</f>
        <v>1785090.625</v>
      </c>
      <c r="I56" s="3">
        <f>'Option Costs'!I35</f>
        <v>7366838.4015281228</v>
      </c>
      <c r="J56" s="3">
        <f>'Option Costs'!J35</f>
        <v>113265.14042349489</v>
      </c>
      <c r="K56" s="3">
        <f>'Option Costs'!K35</f>
        <v>116096.76893408225</v>
      </c>
      <c r="L56" s="3">
        <f>'Option Costs'!L35</f>
        <v>118999.1881574343</v>
      </c>
      <c r="M56" s="3">
        <f>'Option Costs'!M35</f>
        <v>121974.16786137015</v>
      </c>
      <c r="N56" s="3">
        <f>'Option Costs'!N35</f>
        <v>125023.5220579044</v>
      </c>
      <c r="O56" s="3">
        <f>'Option Costs'!O35</f>
        <v>128149.110109352</v>
      </c>
      <c r="P56" s="3">
        <f>'Option Costs'!P35</f>
        <v>131352.83786208578</v>
      </c>
      <c r="Q56" s="3">
        <f>'Option Costs'!Q35</f>
        <v>134636.65880863791</v>
      </c>
      <c r="R56" s="3">
        <f>'Option Costs'!R35</f>
        <v>138002.57527885385</v>
      </c>
      <c r="S56" s="3">
        <f>'Option Costs'!S35</f>
        <v>141452.6396608252</v>
      </c>
      <c r="T56" s="3">
        <f>'Option Costs'!T35</f>
        <v>12826943.875362802</v>
      </c>
    </row>
    <row r="57" spans="1:20" x14ac:dyDescent="0.25">
      <c r="A57" s="1" t="s">
        <v>35</v>
      </c>
      <c r="E57" s="4">
        <f>E55-E56</f>
        <v>145849782.38646045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9042920.2514551766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3068432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155456210.69678935</v>
      </c>
      <c r="F61" s="4">
        <f>F$6-F60</f>
        <v>0</v>
      </c>
      <c r="G61" s="4">
        <f t="shared" ref="G61:T61" si="9">G$6-G60</f>
        <v>0</v>
      </c>
      <c r="H61" s="4">
        <f t="shared" si="9"/>
        <v>2814012.3099999996</v>
      </c>
      <c r="I61" s="4">
        <f t="shared" si="9"/>
        <v>8491408.9800000004</v>
      </c>
      <c r="J61" s="4">
        <f t="shared" si="9"/>
        <v>13508407.34</v>
      </c>
      <c r="K61" s="4">
        <f t="shared" si="9"/>
        <v>16944559.32</v>
      </c>
      <c r="L61" s="4">
        <f t="shared" si="9"/>
        <v>17458854.210000001</v>
      </c>
      <c r="M61" s="4">
        <f t="shared" si="9"/>
        <v>22339013.989999998</v>
      </c>
      <c r="N61" s="4">
        <f t="shared" si="9"/>
        <v>28976674.899999999</v>
      </c>
      <c r="O61" s="4">
        <f t="shared" si="9"/>
        <v>35426939.979999997</v>
      </c>
      <c r="P61" s="4">
        <f t="shared" si="9"/>
        <v>35426939.979999997</v>
      </c>
      <c r="Q61" s="4">
        <f t="shared" si="9"/>
        <v>35426939.979999997</v>
      </c>
      <c r="R61" s="4">
        <f t="shared" si="9"/>
        <v>35426939.979999997</v>
      </c>
      <c r="S61" s="4">
        <f t="shared" si="9"/>
        <v>35426939.979999997</v>
      </c>
      <c r="T61" s="4">
        <f t="shared" si="9"/>
        <v>35426939.979999997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17180264.696407277</v>
      </c>
      <c r="F62" s="3">
        <f>'Option Costs'!F39</f>
        <v>0</v>
      </c>
      <c r="G62" s="3">
        <f>'Option Costs'!G39</f>
        <v>0</v>
      </c>
      <c r="H62" s="3">
        <f>'Option Costs'!H39</f>
        <v>7617031.2499999981</v>
      </c>
      <c r="I62" s="3">
        <f>'Option Costs'!I39</f>
        <v>7366838.4015281228</v>
      </c>
      <c r="J62" s="3">
        <f>'Option Costs'!J39</f>
        <v>113265.14042349489</v>
      </c>
      <c r="K62" s="3">
        <f>'Option Costs'!K39</f>
        <v>116096.76893408225</v>
      </c>
      <c r="L62" s="3">
        <f>'Option Costs'!L39</f>
        <v>118999.1881574343</v>
      </c>
      <c r="M62" s="3">
        <f>'Option Costs'!M39</f>
        <v>121974.16786137015</v>
      </c>
      <c r="N62" s="3">
        <f>'Option Costs'!N39</f>
        <v>125023.5220579044</v>
      </c>
      <c r="O62" s="3">
        <f>'Option Costs'!O39</f>
        <v>128149.110109352</v>
      </c>
      <c r="P62" s="3">
        <f>'Option Costs'!P39</f>
        <v>131352.83786208578</v>
      </c>
      <c r="Q62" s="3">
        <f>'Option Costs'!Q39</f>
        <v>134636.65880863791</v>
      </c>
      <c r="R62" s="3">
        <f>'Option Costs'!R39</f>
        <v>138002.57527885385</v>
      </c>
      <c r="S62" s="3">
        <f>'Option Costs'!S39</f>
        <v>141452.6396608252</v>
      </c>
      <c r="T62" s="3">
        <f>'Option Costs'!T39</f>
        <v>12826943.875362802</v>
      </c>
    </row>
    <row r="63" spans="1:20" x14ac:dyDescent="0.25">
      <c r="A63" s="1" t="s">
        <v>35</v>
      </c>
      <c r="E63" s="4">
        <f>E61-E62</f>
        <v>138275946.00038207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164368592.01525483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130538.9329896648</v>
      </c>
      <c r="F67" s="4">
        <f>F$6-F66</f>
        <v>0</v>
      </c>
      <c r="G67" s="4">
        <f t="shared" ref="G67:T67" si="10">G$6-G66</f>
        <v>0</v>
      </c>
      <c r="H67" s="4">
        <f t="shared" si="10"/>
        <v>6911.8199999993667</v>
      </c>
      <c r="I67" s="4">
        <f t="shared" si="10"/>
        <v>9170.6699999999255</v>
      </c>
      <c r="J67" s="4">
        <f t="shared" si="10"/>
        <v>13231.220000000671</v>
      </c>
      <c r="K67" s="4">
        <f t="shared" si="10"/>
        <v>15713.530000001192</v>
      </c>
      <c r="L67" s="4">
        <f t="shared" si="10"/>
        <v>15612.870000001043</v>
      </c>
      <c r="M67" s="4">
        <f t="shared" si="10"/>
        <v>18334.609999999404</v>
      </c>
      <c r="N67" s="4">
        <f t="shared" si="10"/>
        <v>23196.579999998212</v>
      </c>
      <c r="O67" s="4">
        <f t="shared" si="10"/>
        <v>26618.379999995232</v>
      </c>
      <c r="P67" s="4">
        <f t="shared" si="10"/>
        <v>26618.379999995232</v>
      </c>
      <c r="Q67" s="4">
        <f t="shared" si="10"/>
        <v>26618.379999995232</v>
      </c>
      <c r="R67" s="4">
        <f t="shared" si="10"/>
        <v>26618.379999995232</v>
      </c>
      <c r="S67" s="4">
        <f t="shared" si="10"/>
        <v>26618.379999995232</v>
      </c>
      <c r="T67" s="4">
        <f t="shared" si="10"/>
        <v>26618.379999995232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11010435.517582878</v>
      </c>
      <c r="F68" s="3">
        <f>'Option Costs'!F43</f>
        <v>0</v>
      </c>
      <c r="G68" s="3">
        <f>'Option Costs'!G43</f>
        <v>0</v>
      </c>
      <c r="H68" s="3">
        <f>'Option Costs'!H43</f>
        <v>1285369.1117656247</v>
      </c>
      <c r="I68" s="3">
        <f>'Option Costs'!I43</f>
        <v>19762.550093396479</v>
      </c>
      <c r="J68" s="3">
        <f>'Option Costs'!J43</f>
        <v>20256.61384573139</v>
      </c>
      <c r="K68" s="3">
        <f>'Option Costs'!K43</f>
        <v>7563264.0327876452</v>
      </c>
      <c r="L68" s="3">
        <f>'Option Costs'!L43</f>
        <v>137248.05785195649</v>
      </c>
      <c r="M68" s="3">
        <f>'Option Costs'!M43</f>
        <v>140679.25929825538</v>
      </c>
      <c r="N68" s="3">
        <f>'Option Costs'!N43</f>
        <v>144196.24078071176</v>
      </c>
      <c r="O68" s="3">
        <f>'Option Costs'!O43</f>
        <v>147801.14680022953</v>
      </c>
      <c r="P68" s="3">
        <f>'Option Costs'!P43</f>
        <v>151496.17547023526</v>
      </c>
      <c r="Q68" s="3">
        <f>'Option Costs'!Q43</f>
        <v>155283.57985699113</v>
      </c>
      <c r="R68" s="3">
        <f>'Option Costs'!R43</f>
        <v>159165.6693534159</v>
      </c>
      <c r="S68" s="3">
        <f>'Option Costs'!S43</f>
        <v>163144.81108725129</v>
      </c>
      <c r="T68" s="3">
        <f>'Option Costs'!T43</f>
        <v>12849178.351074889</v>
      </c>
    </row>
    <row r="69" spans="1:20" x14ac:dyDescent="0.25">
      <c r="A69" s="1" t="s">
        <v>35</v>
      </c>
      <c r="E69" s="4">
        <f>E67-E68</f>
        <v>-10879896.584593214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164368592.01525483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130538.9329896648</v>
      </c>
      <c r="F73" s="4">
        <f>F$6-F72</f>
        <v>0</v>
      </c>
      <c r="G73" s="4">
        <f t="shared" ref="G73:T73" si="11">G$6-G72</f>
        <v>0</v>
      </c>
      <c r="H73" s="4">
        <f t="shared" si="11"/>
        <v>6911.8199999993667</v>
      </c>
      <c r="I73" s="4">
        <f t="shared" si="11"/>
        <v>9170.6699999999255</v>
      </c>
      <c r="J73" s="4">
        <f t="shared" si="11"/>
        <v>13231.220000000671</v>
      </c>
      <c r="K73" s="4">
        <f t="shared" si="11"/>
        <v>15713.530000001192</v>
      </c>
      <c r="L73" s="4">
        <f t="shared" si="11"/>
        <v>15612.870000001043</v>
      </c>
      <c r="M73" s="4">
        <f t="shared" si="11"/>
        <v>18334.609999999404</v>
      </c>
      <c r="N73" s="4">
        <f t="shared" si="11"/>
        <v>23196.579999998212</v>
      </c>
      <c r="O73" s="4">
        <f t="shared" si="11"/>
        <v>26618.379999995232</v>
      </c>
      <c r="P73" s="4">
        <f t="shared" si="11"/>
        <v>26618.379999995232</v>
      </c>
      <c r="Q73" s="4">
        <f t="shared" si="11"/>
        <v>26618.379999995232</v>
      </c>
      <c r="R73" s="4">
        <f t="shared" si="11"/>
        <v>26618.379999995232</v>
      </c>
      <c r="S73" s="4">
        <f t="shared" si="11"/>
        <v>26618.379999995232</v>
      </c>
      <c r="T73" s="4">
        <f t="shared" si="11"/>
        <v>26618.379999995232</v>
      </c>
    </row>
    <row r="74" spans="1:20" x14ac:dyDescent="0.25">
      <c r="A74" s="1" t="s">
        <v>34</v>
      </c>
      <c r="D74" s="3"/>
      <c r="E74" s="3">
        <f>NPV($B$2,G74:T74)+F74</f>
        <v>11348820.465699716</v>
      </c>
      <c r="F74" s="3">
        <f>'Option Costs'!F47</f>
        <v>0</v>
      </c>
      <c r="G74" s="3">
        <f>'Option Costs'!G47</f>
        <v>0</v>
      </c>
      <c r="H74" s="3">
        <f>'Option Costs'!H47</f>
        <v>1636828.5205937496</v>
      </c>
      <c r="I74" s="3">
        <f>'Option Costs'!I47</f>
        <v>25166.238504128898</v>
      </c>
      <c r="J74" s="3">
        <f>'Option Costs'!J47</f>
        <v>25795.394466732119</v>
      </c>
      <c r="K74" s="3">
        <f>'Option Costs'!K47</f>
        <v>7568941.2829241706</v>
      </c>
      <c r="L74" s="3">
        <f>'Option Costs'!L47</f>
        <v>143067.23924189538</v>
      </c>
      <c r="M74" s="3">
        <f>'Option Costs'!M47</f>
        <v>146643.92022294275</v>
      </c>
      <c r="N74" s="3">
        <f>'Option Costs'!N47</f>
        <v>150310.0182285163</v>
      </c>
      <c r="O74" s="3">
        <f>'Option Costs'!O47</f>
        <v>154067.7686842292</v>
      </c>
      <c r="P74" s="3">
        <f>'Option Costs'!P47</f>
        <v>157919.46290133492</v>
      </c>
      <c r="Q74" s="3">
        <f>'Option Costs'!Q47</f>
        <v>161867.44947386827</v>
      </c>
      <c r="R74" s="3">
        <f>'Option Costs'!R47</f>
        <v>165914.13571071497</v>
      </c>
      <c r="S74" s="3">
        <f>'Option Costs'!S47</f>
        <v>170061.98910348283</v>
      </c>
      <c r="T74" s="3">
        <f>'Option Costs'!T47</f>
        <v>12856268.458541527</v>
      </c>
    </row>
    <row r="75" spans="1:20" x14ac:dyDescent="0.25">
      <c r="A75" s="1" t="s">
        <v>35</v>
      </c>
      <c r="E75" s="4">
        <f>E73-E74</f>
        <v>-11218281.532710051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1"/>
  <sheetViews>
    <sheetView zoomScale="70" zoomScaleNormal="7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RowHeight="15" x14ac:dyDescent="0.25"/>
  <cols>
    <col min="1" max="1" width="22.140625" bestFit="1" customWidth="1"/>
    <col min="2" max="2" width="11.5703125" bestFit="1" customWidth="1"/>
    <col min="3" max="4" width="4.28515625" customWidth="1"/>
    <col min="5" max="5" width="23.5703125" bestFit="1" customWidth="1"/>
    <col min="6" max="7" width="12.42578125" bestFit="1" customWidth="1"/>
    <col min="8" max="8" width="13.140625" bestFit="1" customWidth="1"/>
    <col min="9" max="9" width="12.42578125" bestFit="1" customWidth="1"/>
    <col min="10" max="12" width="13.140625" bestFit="1" customWidth="1"/>
    <col min="13" max="20" width="13.5703125" bestFit="1" customWidth="1"/>
  </cols>
  <sheetData>
    <row r="1" spans="1:20" s="12" customFormat="1" x14ac:dyDescent="0.25">
      <c r="A1" s="41" t="s">
        <v>36</v>
      </c>
      <c r="B1" s="42">
        <v>39440</v>
      </c>
      <c r="C1" s="43"/>
      <c r="D1" s="42"/>
      <c r="E1" s="42"/>
      <c r="F1" s="40">
        <v>2016</v>
      </c>
      <c r="G1" s="40">
        <v>2017</v>
      </c>
      <c r="H1" s="40">
        <v>2018</v>
      </c>
      <c r="I1" s="40">
        <v>2019</v>
      </c>
      <c r="J1" s="40">
        <v>2020</v>
      </c>
      <c r="K1" s="40">
        <v>2021</v>
      </c>
      <c r="L1" s="40">
        <v>2022</v>
      </c>
      <c r="M1" s="40">
        <v>2023</v>
      </c>
      <c r="N1" s="40">
        <v>2024</v>
      </c>
      <c r="O1" s="40">
        <v>2025</v>
      </c>
      <c r="P1" s="40">
        <v>2026</v>
      </c>
      <c r="Q1" s="40">
        <v>2027</v>
      </c>
      <c r="R1" s="40">
        <v>2028</v>
      </c>
      <c r="S1" s="40">
        <v>2029</v>
      </c>
      <c r="T1" s="40">
        <v>2030</v>
      </c>
    </row>
    <row r="2" spans="1:20" x14ac:dyDescent="0.25">
      <c r="A2" s="1" t="s">
        <v>4</v>
      </c>
      <c r="B2" s="35">
        <v>6.3700000000000007E-2</v>
      </c>
      <c r="C2" s="1"/>
      <c r="E2" s="36" t="s">
        <v>7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x14ac:dyDescent="0.25">
      <c r="A3" s="1" t="s">
        <v>37</v>
      </c>
      <c r="B3" s="36">
        <v>1.3</v>
      </c>
      <c r="C3" s="36"/>
      <c r="D3" s="36"/>
      <c r="E3" t="s">
        <v>6</v>
      </c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</row>
    <row r="4" spans="1:20" s="12" customFormat="1" x14ac:dyDescent="0.25">
      <c r="A4" s="8" t="s">
        <v>26</v>
      </c>
      <c r="B4" s="13"/>
      <c r="C4" s="13"/>
      <c r="D4" s="9"/>
      <c r="E4" s="9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x14ac:dyDescent="0.25">
      <c r="A5" s="1" t="s">
        <v>1</v>
      </c>
      <c r="B5" s="1"/>
      <c r="C5" s="1"/>
      <c r="D5" s="1"/>
      <c r="E5" s="1"/>
      <c r="F5" s="1">
        <v>70.599999999999994</v>
      </c>
      <c r="G5" s="1">
        <v>99.9</v>
      </c>
      <c r="H5" s="1">
        <v>149.1</v>
      </c>
      <c r="I5" s="1">
        <v>215.3</v>
      </c>
      <c r="J5" s="1">
        <v>342.5</v>
      </c>
      <c r="K5" s="1">
        <v>429.6</v>
      </c>
      <c r="L5" s="1">
        <v>442.7</v>
      </c>
      <c r="M5" s="1">
        <v>566.4</v>
      </c>
      <c r="N5" s="1">
        <v>734.7</v>
      </c>
      <c r="O5" s="1">
        <v>898.2</v>
      </c>
      <c r="P5" s="1">
        <v>898.2</v>
      </c>
      <c r="Q5" s="1">
        <v>898.2</v>
      </c>
      <c r="R5" s="1">
        <v>898.2</v>
      </c>
      <c r="S5" s="1">
        <v>898.2</v>
      </c>
      <c r="T5" s="1">
        <v>898.2</v>
      </c>
    </row>
    <row r="6" spans="1:20" x14ac:dyDescent="0.25">
      <c r="A6" s="1" t="s">
        <v>0</v>
      </c>
      <c r="B6" s="1"/>
      <c r="C6" s="1"/>
      <c r="D6" s="3"/>
      <c r="E6" s="3">
        <f>NPV($B$2,G6:T6)+F6</f>
        <v>191041031.13867536</v>
      </c>
      <c r="F6" s="3">
        <f>'Cost-Benefit (BASE)'!F6/'Cost-Benefit (BASE)'!$B$1*$B$1</f>
        <v>2784207.75</v>
      </c>
      <c r="G6" s="3">
        <f>'Cost-Benefit (BASE)'!G6/'Cost-Benefit (BASE)'!$B$1*$B$1</f>
        <v>3941364.7700000005</v>
      </c>
      <c r="H6" s="3">
        <f>'Cost-Benefit (BASE)'!H6/'Cost-Benefit (BASE)'!$B$1*$B$1</f>
        <v>5882444.3099999996</v>
      </c>
      <c r="I6" s="3">
        <f>'Cost-Benefit (BASE)'!I6/'Cost-Benefit (BASE)'!$B$1*$B$1</f>
        <v>8491408.9800000004</v>
      </c>
      <c r="J6" s="3">
        <f>'Cost-Benefit (BASE)'!J6/'Cost-Benefit (BASE)'!$B$1*$B$1</f>
        <v>13508407.34</v>
      </c>
      <c r="K6" s="3">
        <f>'Cost-Benefit (BASE)'!K6/'Cost-Benefit (BASE)'!$B$1*$B$1</f>
        <v>16944559.32</v>
      </c>
      <c r="L6" s="3">
        <f>'Cost-Benefit (BASE)'!L6/'Cost-Benefit (BASE)'!$B$1*$B$1</f>
        <v>17458854.210000001</v>
      </c>
      <c r="M6" s="3">
        <f>'Cost-Benefit (BASE)'!M6/'Cost-Benefit (BASE)'!$B$1*$B$1</f>
        <v>22339013.989999998</v>
      </c>
      <c r="N6" s="3">
        <f>'Cost-Benefit (BASE)'!N6/'Cost-Benefit (BASE)'!$B$1*$B$1</f>
        <v>28976674.899999999</v>
      </c>
      <c r="O6" s="3">
        <f>'Cost-Benefit (BASE)'!O6/'Cost-Benefit (BASE)'!$B$1*$B$1</f>
        <v>35426939.979999997</v>
      </c>
      <c r="P6" s="3">
        <f>'Cost-Benefit (BASE)'!P6/'Cost-Benefit (BASE)'!$B$1*$B$1</f>
        <v>35426939.979999997</v>
      </c>
      <c r="Q6" s="3">
        <f>'Cost-Benefit (BASE)'!Q6/'Cost-Benefit (BASE)'!$B$1*$B$1</f>
        <v>35426939.979999997</v>
      </c>
      <c r="R6" s="3">
        <f>'Cost-Benefit (BASE)'!R6/'Cost-Benefit (BASE)'!$B$1*$B$1</f>
        <v>35426939.979999997</v>
      </c>
      <c r="S6" s="3">
        <f>'Cost-Benefit (BASE)'!S6/'Cost-Benefit (BASE)'!$B$1*$B$1</f>
        <v>35426939.979999997</v>
      </c>
      <c r="T6" s="3">
        <f>'Cost-Benefit (BASE)'!T6/'Cost-Benefit (BASE)'!$B$1*$B$1</f>
        <v>35426939.979999997</v>
      </c>
    </row>
    <row r="7" spans="1:20" x14ac:dyDescent="0.25">
      <c r="A7" s="1" t="s">
        <v>33</v>
      </c>
      <c r="B7" s="1"/>
      <c r="C7" s="1"/>
      <c r="D7" s="3"/>
      <c r="E7" s="3">
        <f>NPV($B$2,G7:T7)+F7</f>
        <v>0</v>
      </c>
      <c r="F7" s="4">
        <f>F$6-F6</f>
        <v>0</v>
      </c>
      <c r="G7" s="4">
        <f t="shared" ref="G7:T7" si="0">G$6-G6</f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  <c r="O7" s="4">
        <f t="shared" si="0"/>
        <v>0</v>
      </c>
      <c r="P7" s="4">
        <f t="shared" si="0"/>
        <v>0</v>
      </c>
      <c r="Q7" s="4">
        <f t="shared" si="0"/>
        <v>0</v>
      </c>
      <c r="R7" s="4">
        <f t="shared" si="0"/>
        <v>0</v>
      </c>
      <c r="S7" s="4">
        <f t="shared" si="0"/>
        <v>0</v>
      </c>
      <c r="T7" s="4">
        <f t="shared" si="0"/>
        <v>0</v>
      </c>
    </row>
    <row r="8" spans="1:20" x14ac:dyDescent="0.25">
      <c r="A8" s="1" t="s">
        <v>34</v>
      </c>
      <c r="B8" s="1"/>
      <c r="C8" s="1"/>
      <c r="D8" s="3"/>
      <c r="E8" s="3">
        <f>NPV($B$2,G8:T8)+F8</f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</row>
    <row r="9" spans="1:20" x14ac:dyDescent="0.25">
      <c r="A9" s="1" t="s">
        <v>35</v>
      </c>
      <c r="E9" s="4">
        <f>E7-E8</f>
        <v>0</v>
      </c>
    </row>
    <row r="10" spans="1:20" s="12" customFormat="1" x14ac:dyDescent="0.25">
      <c r="A10" s="8" t="s">
        <v>8</v>
      </c>
      <c r="B10" s="13"/>
      <c r="C10" s="13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x14ac:dyDescent="0.25">
      <c r="A11" s="1" t="s">
        <v>1</v>
      </c>
      <c r="B11" s="1"/>
      <c r="C11" s="1"/>
      <c r="D11" s="1"/>
      <c r="E11" s="1"/>
      <c r="F11" s="1">
        <v>70.599999999999994</v>
      </c>
      <c r="G11" s="1">
        <v>99.9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</row>
    <row r="12" spans="1:20" x14ac:dyDescent="0.25">
      <c r="A12" s="1" t="s">
        <v>0</v>
      </c>
      <c r="B12" s="1"/>
      <c r="C12" s="1"/>
      <c r="D12" s="3"/>
      <c r="E12" s="3">
        <f>NPV($B$2,G12:T12)+F12</f>
        <v>6489542.6846620291</v>
      </c>
      <c r="F12" s="3">
        <f>'Cost-Benefit (BASE)'!F12/'Cost-Benefit (BASE)'!$B$1*$B$1</f>
        <v>2784207.75</v>
      </c>
      <c r="G12" s="3">
        <f>'Cost-Benefit (BASE)'!G12/'Cost-Benefit (BASE)'!$B$1*$B$1</f>
        <v>3941364.7700000005</v>
      </c>
      <c r="H12" s="3">
        <f>'Cost-Benefit (BASE)'!H12/'Cost-Benefit (BASE)'!$B$1*$B$1</f>
        <v>0</v>
      </c>
      <c r="I12" s="3">
        <f>'Cost-Benefit (BASE)'!I12/'Cost-Benefit (BASE)'!$B$1*$B$1</f>
        <v>0</v>
      </c>
      <c r="J12" s="3">
        <f>'Cost-Benefit (BASE)'!J12/'Cost-Benefit (BASE)'!$B$1*$B$1</f>
        <v>0</v>
      </c>
      <c r="K12" s="3">
        <f>'Cost-Benefit (BASE)'!K12/'Cost-Benefit (BASE)'!$B$1*$B$1</f>
        <v>0</v>
      </c>
      <c r="L12" s="3">
        <f>'Cost-Benefit (BASE)'!L12/'Cost-Benefit (BASE)'!$B$1*$B$1</f>
        <v>0</v>
      </c>
      <c r="M12" s="3">
        <f>'Cost-Benefit (BASE)'!M12/'Cost-Benefit (BASE)'!$B$1*$B$1</f>
        <v>0</v>
      </c>
      <c r="N12" s="3">
        <f>'Cost-Benefit (BASE)'!N12/'Cost-Benefit (BASE)'!$B$1*$B$1</f>
        <v>0</v>
      </c>
      <c r="O12" s="3">
        <f>'Cost-Benefit (BASE)'!O12/'Cost-Benefit (BASE)'!$B$1*$B$1</f>
        <v>0</v>
      </c>
      <c r="P12" s="3">
        <f>'Cost-Benefit (BASE)'!P12/'Cost-Benefit (BASE)'!$B$1*$B$1</f>
        <v>0</v>
      </c>
      <c r="Q12" s="3">
        <f>'Cost-Benefit (BASE)'!Q12/'Cost-Benefit (BASE)'!$B$1*$B$1</f>
        <v>0</v>
      </c>
      <c r="R12" s="3">
        <f>'Cost-Benefit (BASE)'!R12/'Cost-Benefit (BASE)'!$B$1*$B$1</f>
        <v>0</v>
      </c>
      <c r="S12" s="3">
        <f>'Cost-Benefit (BASE)'!S12/'Cost-Benefit (BASE)'!$B$1*$B$1</f>
        <v>0</v>
      </c>
      <c r="T12" s="3">
        <f>'Cost-Benefit (BASE)'!T12/'Cost-Benefit (BASE)'!$B$1*$B$1</f>
        <v>0</v>
      </c>
    </row>
    <row r="13" spans="1:20" x14ac:dyDescent="0.25">
      <c r="A13" s="1" t="s">
        <v>33</v>
      </c>
      <c r="B13" s="1"/>
      <c r="C13" s="1"/>
      <c r="D13" s="3"/>
      <c r="E13" s="3">
        <f>NPV($B$2,G13:T13)+F13</f>
        <v>184551488.45401335</v>
      </c>
      <c r="F13" s="4">
        <f>F$6-F12</f>
        <v>0</v>
      </c>
      <c r="G13" s="4">
        <f t="shared" ref="G13:T13" si="1">G$6-G12</f>
        <v>0</v>
      </c>
      <c r="H13" s="4">
        <f t="shared" si="1"/>
        <v>5882444.3099999996</v>
      </c>
      <c r="I13" s="4">
        <f t="shared" si="1"/>
        <v>8491408.9800000004</v>
      </c>
      <c r="J13" s="4">
        <f t="shared" si="1"/>
        <v>13508407.34</v>
      </c>
      <c r="K13" s="4">
        <f t="shared" si="1"/>
        <v>16944559.32</v>
      </c>
      <c r="L13" s="4">
        <f t="shared" si="1"/>
        <v>17458854.210000001</v>
      </c>
      <c r="M13" s="4">
        <f t="shared" si="1"/>
        <v>22339013.989999998</v>
      </c>
      <c r="N13" s="4">
        <f t="shared" si="1"/>
        <v>28976674.899999999</v>
      </c>
      <c r="O13" s="4">
        <f t="shared" si="1"/>
        <v>35426939.979999997</v>
      </c>
      <c r="P13" s="4">
        <f t="shared" si="1"/>
        <v>35426939.979999997</v>
      </c>
      <c r="Q13" s="4">
        <f t="shared" si="1"/>
        <v>35426939.979999997</v>
      </c>
      <c r="R13" s="4">
        <f t="shared" si="1"/>
        <v>35426939.979999997</v>
      </c>
      <c r="S13" s="4">
        <f t="shared" si="1"/>
        <v>35426939.979999997</v>
      </c>
      <c r="T13" s="4">
        <f t="shared" si="1"/>
        <v>35426939.979999997</v>
      </c>
    </row>
    <row r="14" spans="1:20" x14ac:dyDescent="0.25">
      <c r="A14" s="1" t="s">
        <v>34</v>
      </c>
      <c r="B14" s="1"/>
      <c r="C14" s="1"/>
      <c r="D14" s="3"/>
      <c r="E14" s="3">
        <f>NPV($B$2,G14:T14)+F14</f>
        <v>21718644.460248057</v>
      </c>
      <c r="F14" s="3">
        <f>'Cost-Benefit (BASE)'!F14*'Cost-Benefit (Cost+30%)'!$B$3</f>
        <v>0</v>
      </c>
      <c r="G14" s="3">
        <f>'Cost-Benefit (BASE)'!G14*'Cost-Benefit (Cost+30%)'!$B$3</f>
        <v>0</v>
      </c>
      <c r="H14" s="3">
        <f>'Cost-Benefit (BASE)'!H14*'Cost-Benefit (Cost+30%)'!$B$3</f>
        <v>14629404.861853449</v>
      </c>
      <c r="I14" s="3">
        <f>'Cost-Benefit (BASE)'!I14*'Cost-Benefit (Cost+30%)'!$B$3</f>
        <v>224927.09975099674</v>
      </c>
      <c r="J14" s="3">
        <f>'Cost-Benefit (BASE)'!J14*'Cost-Benefit (Cost+30%)'!$B$3</f>
        <v>230550.27724477163</v>
      </c>
      <c r="K14" s="3">
        <f>'Cost-Benefit (BASE)'!K14*'Cost-Benefit (Cost+30%)'!$B$3</f>
        <v>236314.03417589088</v>
      </c>
      <c r="L14" s="3">
        <f>'Cost-Benefit (BASE)'!L14*'Cost-Benefit (Cost+30%)'!$B$3</f>
        <v>242221.88503028816</v>
      </c>
      <c r="M14" s="3">
        <f>'Cost-Benefit (BASE)'!M14*'Cost-Benefit (Cost+30%)'!$B$3</f>
        <v>248277.43215604534</v>
      </c>
      <c r="N14" s="3">
        <f>'Cost-Benefit (BASE)'!N14*'Cost-Benefit (Cost+30%)'!$B$3</f>
        <v>254484.36795994645</v>
      </c>
      <c r="O14" s="3">
        <f>'Cost-Benefit (BASE)'!O14*'Cost-Benefit (Cost+30%)'!$B$3</f>
        <v>260846.47715894508</v>
      </c>
      <c r="P14" s="3">
        <f>'Cost-Benefit (BASE)'!P14*'Cost-Benefit (Cost+30%)'!$B$3</f>
        <v>267367.63908791868</v>
      </c>
      <c r="Q14" s="3">
        <f>'Cost-Benefit (BASE)'!Q14*'Cost-Benefit (Cost+30%)'!$B$3</f>
        <v>274051.83006511664</v>
      </c>
      <c r="R14" s="3">
        <f>'Cost-Benefit (BASE)'!R14*'Cost-Benefit (Cost+30%)'!$B$3</f>
        <v>280903.12581674452</v>
      </c>
      <c r="S14" s="3">
        <f>'Cost-Benefit (BASE)'!S14*'Cost-Benefit (Cost+30%)'!$B$3</f>
        <v>287925.70396216313</v>
      </c>
      <c r="T14" s="3">
        <f>'Cost-Benefit (BASE)'!T14*'Cost-Benefit (Cost+30%)'!$B$3</f>
        <v>16781665.242184814</v>
      </c>
    </row>
    <row r="15" spans="1:20" x14ac:dyDescent="0.25">
      <c r="A15" s="1" t="s">
        <v>35</v>
      </c>
      <c r="E15" s="4">
        <f>E13-E14</f>
        <v>162832843.99376529</v>
      </c>
    </row>
    <row r="16" spans="1:20" s="12" customFormat="1" x14ac:dyDescent="0.25">
      <c r="A16" s="8" t="s">
        <v>9</v>
      </c>
      <c r="B16" s="13"/>
      <c r="C16" s="13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x14ac:dyDescent="0.25">
      <c r="A17" s="1" t="s">
        <v>1</v>
      </c>
      <c r="B17" s="1"/>
      <c r="C17" s="1"/>
      <c r="D17" s="1"/>
      <c r="E17" s="1"/>
      <c r="F17" s="1">
        <v>70.599999999999994</v>
      </c>
      <c r="G17" s="1">
        <v>99.9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</row>
    <row r="18" spans="1:20" x14ac:dyDescent="0.25">
      <c r="A18" s="1" t="s">
        <v>0</v>
      </c>
      <c r="B18" s="1"/>
      <c r="C18" s="1"/>
      <c r="D18" s="3"/>
      <c r="E18" s="3">
        <f>NPV($B$2,G18:T18)+F18</f>
        <v>6489542.6846620291</v>
      </c>
      <c r="F18" s="3">
        <f>'Cost-Benefit (BASE)'!F18/'Cost-Benefit (BASE)'!$B$1*$B$1</f>
        <v>2784207.75</v>
      </c>
      <c r="G18" s="3">
        <f>'Cost-Benefit (BASE)'!G18/'Cost-Benefit (BASE)'!$B$1*$B$1</f>
        <v>3941364.7700000005</v>
      </c>
      <c r="H18" s="3">
        <f>'Cost-Benefit (BASE)'!H18/'Cost-Benefit (BASE)'!$B$1*$B$1</f>
        <v>0</v>
      </c>
      <c r="I18" s="3">
        <f>'Cost-Benefit (BASE)'!I18/'Cost-Benefit (BASE)'!$B$1*$B$1</f>
        <v>0</v>
      </c>
      <c r="J18" s="3">
        <f>'Cost-Benefit (BASE)'!J18/'Cost-Benefit (BASE)'!$B$1*$B$1</f>
        <v>0</v>
      </c>
      <c r="K18" s="3">
        <f>'Cost-Benefit (BASE)'!K18/'Cost-Benefit (BASE)'!$B$1*$B$1</f>
        <v>0</v>
      </c>
      <c r="L18" s="3">
        <f>'Cost-Benefit (BASE)'!L18/'Cost-Benefit (BASE)'!$B$1*$B$1</f>
        <v>0</v>
      </c>
      <c r="M18" s="3">
        <f>'Cost-Benefit (BASE)'!M18/'Cost-Benefit (BASE)'!$B$1*$B$1</f>
        <v>0</v>
      </c>
      <c r="N18" s="3">
        <f>'Cost-Benefit (BASE)'!N18/'Cost-Benefit (BASE)'!$B$1*$B$1</f>
        <v>0</v>
      </c>
      <c r="O18" s="3">
        <f>'Cost-Benefit (BASE)'!O18/'Cost-Benefit (BASE)'!$B$1*$B$1</f>
        <v>0</v>
      </c>
      <c r="P18" s="3">
        <f>'Cost-Benefit (BASE)'!P18/'Cost-Benefit (BASE)'!$B$1*$B$1</f>
        <v>0</v>
      </c>
      <c r="Q18" s="3">
        <f>'Cost-Benefit (BASE)'!Q18/'Cost-Benefit (BASE)'!$B$1*$B$1</f>
        <v>0</v>
      </c>
      <c r="R18" s="3">
        <f>'Cost-Benefit (BASE)'!R18/'Cost-Benefit (BASE)'!$B$1*$B$1</f>
        <v>0</v>
      </c>
      <c r="S18" s="3">
        <f>'Cost-Benefit (BASE)'!S18/'Cost-Benefit (BASE)'!$B$1*$B$1</f>
        <v>0</v>
      </c>
      <c r="T18" s="3">
        <f>'Cost-Benefit (BASE)'!T18/'Cost-Benefit (BASE)'!$B$1*$B$1</f>
        <v>0</v>
      </c>
    </row>
    <row r="19" spans="1:20" x14ac:dyDescent="0.25">
      <c r="A19" s="1" t="s">
        <v>33</v>
      </c>
      <c r="B19" s="1"/>
      <c r="C19" s="1"/>
      <c r="D19" s="3"/>
      <c r="E19" s="3">
        <f>NPV($B$2,G19:T19)+F19</f>
        <v>184551488.45401335</v>
      </c>
      <c r="F19" s="4">
        <f>F$6-F18</f>
        <v>0</v>
      </c>
      <c r="G19" s="4">
        <f t="shared" ref="G19:T19" si="2">G$6-G18</f>
        <v>0</v>
      </c>
      <c r="H19" s="4">
        <f t="shared" si="2"/>
        <v>5882444.3099999996</v>
      </c>
      <c r="I19" s="4">
        <f t="shared" si="2"/>
        <v>8491408.9800000004</v>
      </c>
      <c r="J19" s="4">
        <f t="shared" si="2"/>
        <v>13508407.34</v>
      </c>
      <c r="K19" s="4">
        <f t="shared" si="2"/>
        <v>16944559.32</v>
      </c>
      <c r="L19" s="4">
        <f t="shared" si="2"/>
        <v>17458854.210000001</v>
      </c>
      <c r="M19" s="4">
        <f t="shared" si="2"/>
        <v>22339013.989999998</v>
      </c>
      <c r="N19" s="4">
        <f t="shared" si="2"/>
        <v>28976674.899999999</v>
      </c>
      <c r="O19" s="4">
        <f t="shared" si="2"/>
        <v>35426939.979999997</v>
      </c>
      <c r="P19" s="4">
        <f t="shared" si="2"/>
        <v>35426939.979999997</v>
      </c>
      <c r="Q19" s="4">
        <f t="shared" si="2"/>
        <v>35426939.979999997</v>
      </c>
      <c r="R19" s="4">
        <f t="shared" si="2"/>
        <v>35426939.979999997</v>
      </c>
      <c r="S19" s="4">
        <f t="shared" si="2"/>
        <v>35426939.979999997</v>
      </c>
      <c r="T19" s="4">
        <f t="shared" si="2"/>
        <v>35426939.979999997</v>
      </c>
    </row>
    <row r="20" spans="1:20" x14ac:dyDescent="0.25">
      <c r="A20" s="1" t="s">
        <v>34</v>
      </c>
      <c r="B20" s="1"/>
      <c r="C20" s="1"/>
      <c r="D20" s="3"/>
      <c r="E20" s="3">
        <f>NPV($B$2,G20:T20)+F20</f>
        <v>16380365.095672395</v>
      </c>
      <c r="F20" s="3">
        <f>'Cost-Benefit (BASE)'!F20*'Cost-Benefit (Cost+30%)'!$B$3</f>
        <v>0</v>
      </c>
      <c r="G20" s="3">
        <f>'Cost-Benefit (BASE)'!G20*'Cost-Benefit (Cost+30%)'!$B$3</f>
        <v>0</v>
      </c>
      <c r="H20" s="3">
        <f>'Cost-Benefit (BASE)'!H20*'Cost-Benefit (Cost+30%)'!$B$3</f>
        <v>9343307.2409624979</v>
      </c>
      <c r="I20" s="3">
        <f>'Cost-Benefit (BASE)'!I20*'Cost-Benefit (Cost+30%)'!$B$3</f>
        <v>143653.34882979837</v>
      </c>
      <c r="J20" s="3">
        <f>'Cost-Benefit (BASE)'!J20*'Cost-Benefit (Cost+30%)'!$B$3</f>
        <v>147244.68255054334</v>
      </c>
      <c r="K20" s="3">
        <f>'Cost-Benefit (BASE)'!K20*'Cost-Benefit (Cost+30%)'!$B$3</f>
        <v>150925.79961430692</v>
      </c>
      <c r="L20" s="3">
        <f>'Cost-Benefit (BASE)'!L20*'Cost-Benefit (Cost+30%)'!$B$3</f>
        <v>154698.94460466458</v>
      </c>
      <c r="M20" s="3">
        <f>'Cost-Benefit (BASE)'!M20*'Cost-Benefit (Cost+30%)'!$B$3</f>
        <v>158566.41821978119</v>
      </c>
      <c r="N20" s="3">
        <f>'Cost-Benefit (BASE)'!N20*'Cost-Benefit (Cost+30%)'!$B$3</f>
        <v>162530.5786752757</v>
      </c>
      <c r="O20" s="3">
        <f>'Cost-Benefit (BASE)'!O20*'Cost-Benefit (Cost+30%)'!$B$3</f>
        <v>166593.8431421576</v>
      </c>
      <c r="P20" s="3">
        <f>'Cost-Benefit (BASE)'!P20*'Cost-Benefit (Cost+30%)'!$B$3</f>
        <v>170758.68922071153</v>
      </c>
      <c r="Q20" s="3">
        <f>'Cost-Benefit (BASE)'!Q20*'Cost-Benefit (Cost+30%)'!$B$3</f>
        <v>175027.6564512293</v>
      </c>
      <c r="R20" s="3">
        <f>'Cost-Benefit (BASE)'!R20*'Cost-Benefit (Cost+30%)'!$B$3</f>
        <v>179403.34786251001</v>
      </c>
      <c r="S20" s="3">
        <f>'Cost-Benefit (BASE)'!S20*'Cost-Benefit (Cost+30%)'!$B$3</f>
        <v>183888.43155907275</v>
      </c>
      <c r="T20" s="3">
        <f>'Cost-Benefit (BASE)'!T20*'Cost-Benefit (Cost+30%)'!$B$3</f>
        <v>16675027.037971644</v>
      </c>
    </row>
    <row r="21" spans="1:20" x14ac:dyDescent="0.25">
      <c r="A21" s="1" t="s">
        <v>35</v>
      </c>
      <c r="E21" s="4">
        <f>E19-E20</f>
        <v>168171123.35834095</v>
      </c>
    </row>
    <row r="22" spans="1:20" s="12" customFormat="1" x14ac:dyDescent="0.25">
      <c r="A22" s="8" t="s">
        <v>10</v>
      </c>
      <c r="B22" s="13"/>
      <c r="C22" s="13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</row>
    <row r="23" spans="1:20" x14ac:dyDescent="0.25">
      <c r="A23" s="1" t="s">
        <v>1</v>
      </c>
      <c r="B23" s="1"/>
      <c r="C23" s="1"/>
      <c r="D23" s="1"/>
      <c r="E23" s="1"/>
      <c r="F23" s="1">
        <v>70.599999999999994</v>
      </c>
      <c r="G23" s="1">
        <v>99.9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</row>
    <row r="24" spans="1:20" x14ac:dyDescent="0.25">
      <c r="A24" s="1" t="s">
        <v>0</v>
      </c>
      <c r="B24" s="1"/>
      <c r="C24" s="1"/>
      <c r="D24" s="3"/>
      <c r="E24" s="3">
        <f>NPV($B$2,G24:T24)+F24</f>
        <v>6489542.6846620291</v>
      </c>
      <c r="F24" s="3">
        <f>'Cost-Benefit (BASE)'!F24/'Cost-Benefit (BASE)'!$B$1*$B$1</f>
        <v>2784207.75</v>
      </c>
      <c r="G24" s="3">
        <f>'Cost-Benefit (BASE)'!G24/'Cost-Benefit (BASE)'!$B$1*$B$1</f>
        <v>3941364.7700000005</v>
      </c>
      <c r="H24" s="3">
        <f>'Cost-Benefit (BASE)'!H24/'Cost-Benefit (BASE)'!$B$1*$B$1</f>
        <v>0</v>
      </c>
      <c r="I24" s="3">
        <f>'Cost-Benefit (BASE)'!I24/'Cost-Benefit (BASE)'!$B$1*$B$1</f>
        <v>0</v>
      </c>
      <c r="J24" s="3">
        <f>'Cost-Benefit (BASE)'!J24/'Cost-Benefit (BASE)'!$B$1*$B$1</f>
        <v>0</v>
      </c>
      <c r="K24" s="3">
        <f>'Cost-Benefit (BASE)'!K24/'Cost-Benefit (BASE)'!$B$1*$B$1</f>
        <v>0</v>
      </c>
      <c r="L24" s="3">
        <f>'Cost-Benefit (BASE)'!L24/'Cost-Benefit (BASE)'!$B$1*$B$1</f>
        <v>0</v>
      </c>
      <c r="M24" s="3">
        <f>'Cost-Benefit (BASE)'!M24/'Cost-Benefit (BASE)'!$B$1*$B$1</f>
        <v>0</v>
      </c>
      <c r="N24" s="3">
        <f>'Cost-Benefit (BASE)'!N24/'Cost-Benefit (BASE)'!$B$1*$B$1</f>
        <v>0</v>
      </c>
      <c r="O24" s="3">
        <f>'Cost-Benefit (BASE)'!O24/'Cost-Benefit (BASE)'!$B$1*$B$1</f>
        <v>0</v>
      </c>
      <c r="P24" s="3">
        <f>'Cost-Benefit (BASE)'!P24/'Cost-Benefit (BASE)'!$B$1*$B$1</f>
        <v>0</v>
      </c>
      <c r="Q24" s="3">
        <f>'Cost-Benefit (BASE)'!Q24/'Cost-Benefit (BASE)'!$B$1*$B$1</f>
        <v>0</v>
      </c>
      <c r="R24" s="3">
        <f>'Cost-Benefit (BASE)'!R24/'Cost-Benefit (BASE)'!$B$1*$B$1</f>
        <v>0</v>
      </c>
      <c r="S24" s="3">
        <f>'Cost-Benefit (BASE)'!S24/'Cost-Benefit (BASE)'!$B$1*$B$1</f>
        <v>0</v>
      </c>
      <c r="T24" s="3">
        <f>'Cost-Benefit (BASE)'!T24/'Cost-Benefit (BASE)'!$B$1*$B$1</f>
        <v>0</v>
      </c>
    </row>
    <row r="25" spans="1:20" x14ac:dyDescent="0.25">
      <c r="A25" s="1" t="s">
        <v>33</v>
      </c>
      <c r="B25" s="1"/>
      <c r="C25" s="1"/>
      <c r="D25" s="3"/>
      <c r="E25" s="3">
        <f>NPV($B$2,G25:T25)+F25</f>
        <v>184551488.45401335</v>
      </c>
      <c r="F25" s="4">
        <f>F$6-F24</f>
        <v>0</v>
      </c>
      <c r="G25" s="4">
        <f t="shared" ref="G25:T25" si="3">G$6-G24</f>
        <v>0</v>
      </c>
      <c r="H25" s="4">
        <f t="shared" si="3"/>
        <v>5882444.3099999996</v>
      </c>
      <c r="I25" s="4">
        <f t="shared" si="3"/>
        <v>8491408.9800000004</v>
      </c>
      <c r="J25" s="4">
        <f t="shared" si="3"/>
        <v>13508407.34</v>
      </c>
      <c r="K25" s="4">
        <f t="shared" si="3"/>
        <v>16944559.32</v>
      </c>
      <c r="L25" s="4">
        <f t="shared" si="3"/>
        <v>17458854.210000001</v>
      </c>
      <c r="M25" s="4">
        <f t="shared" si="3"/>
        <v>22339013.989999998</v>
      </c>
      <c r="N25" s="4">
        <f t="shared" si="3"/>
        <v>28976674.899999999</v>
      </c>
      <c r="O25" s="4">
        <f t="shared" si="3"/>
        <v>35426939.979999997</v>
      </c>
      <c r="P25" s="4">
        <f t="shared" si="3"/>
        <v>35426939.979999997</v>
      </c>
      <c r="Q25" s="4">
        <f t="shared" si="3"/>
        <v>35426939.979999997</v>
      </c>
      <c r="R25" s="4">
        <f t="shared" si="3"/>
        <v>35426939.979999997</v>
      </c>
      <c r="S25" s="4">
        <f t="shared" si="3"/>
        <v>35426939.979999997</v>
      </c>
      <c r="T25" s="4">
        <f t="shared" si="3"/>
        <v>35426939.979999997</v>
      </c>
    </row>
    <row r="26" spans="1:20" x14ac:dyDescent="0.25">
      <c r="A26" s="1" t="s">
        <v>34</v>
      </c>
      <c r="B26" s="1"/>
      <c r="C26" s="1"/>
      <c r="D26" s="3"/>
      <c r="E26" s="3">
        <f>NPV($B$2,G26:T26)+F26</f>
        <v>22031561.167393256</v>
      </c>
      <c r="F26" s="3">
        <f>'Cost-Benefit (BASE)'!F26*'Cost-Benefit (Cost+30%)'!$B$3</f>
        <v>0</v>
      </c>
      <c r="G26" s="3">
        <f>'Cost-Benefit (BASE)'!G26*'Cost-Benefit (Cost+30%)'!$B$3</f>
        <v>0</v>
      </c>
      <c r="H26" s="3">
        <f>'Cost-Benefit (BASE)'!H26*'Cost-Benefit (Cost+30%)'!$B$3</f>
        <v>12294750.865586564</v>
      </c>
      <c r="I26" s="3">
        <f>'Cost-Benefit (BASE)'!I26*'Cost-Benefit (Cost+30%)'!$B$3</f>
        <v>189031.79455839339</v>
      </c>
      <c r="J26" s="3">
        <f>'Cost-Benefit (BASE)'!J26*'Cost-Benefit (Cost+30%)'!$B$3</f>
        <v>193757.58942235319</v>
      </c>
      <c r="K26" s="3">
        <f>'Cost-Benefit (BASE)'!K26*'Cost-Benefit (Cost+30%)'!$B$3</f>
        <v>3467018.6307160794</v>
      </c>
      <c r="L26" s="3">
        <f>'Cost-Benefit (BASE)'!L26*'Cost-Benefit (Cost+30%)'!$B$3</f>
        <v>253818.48032331662</v>
      </c>
      <c r="M26" s="3">
        <f>'Cost-Benefit (BASE)'!M26*'Cost-Benefit (Cost+30%)'!$B$3</f>
        <v>260163.94233139948</v>
      </c>
      <c r="N26" s="3">
        <f>'Cost-Benefit (BASE)'!N26*'Cost-Benefit (Cost+30%)'!$B$3</f>
        <v>266668.04088968446</v>
      </c>
      <c r="O26" s="3">
        <f>'Cost-Benefit (BASE)'!O26*'Cost-Benefit (Cost+30%)'!$B$3</f>
        <v>273334.74191192654</v>
      </c>
      <c r="P26" s="3">
        <f>'Cost-Benefit (BASE)'!P26*'Cost-Benefit (Cost+30%)'!$B$3</f>
        <v>280168.11045972473</v>
      </c>
      <c r="Q26" s="3">
        <f>'Cost-Benefit (BASE)'!Q26*'Cost-Benefit (Cost+30%)'!$B$3</f>
        <v>287172.31322121783</v>
      </c>
      <c r="R26" s="3">
        <f>'Cost-Benefit (BASE)'!R26*'Cost-Benefit (Cost+30%)'!$B$3</f>
        <v>294351.62105174822</v>
      </c>
      <c r="S26" s="3">
        <f>'Cost-Benefit (BASE)'!S26*'Cost-Benefit (Cost+30%)'!$B$3</f>
        <v>301710.41157804185</v>
      </c>
      <c r="T26" s="3">
        <f>'Cost-Benefit (BASE)'!T26*'Cost-Benefit (Cost+30%)'!$B$3</f>
        <v>16795794.567491088</v>
      </c>
    </row>
    <row r="27" spans="1:20" x14ac:dyDescent="0.25">
      <c r="A27" s="1" t="s">
        <v>35</v>
      </c>
      <c r="E27" s="4">
        <f>E25-E26</f>
        <v>162519927.28662008</v>
      </c>
    </row>
    <row r="28" spans="1:20" s="12" customFormat="1" x14ac:dyDescent="0.25">
      <c r="A28" s="8" t="s">
        <v>11</v>
      </c>
      <c r="B28" s="13"/>
      <c r="C28" s="1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</row>
    <row r="29" spans="1:20" x14ac:dyDescent="0.25">
      <c r="A29" s="1" t="s">
        <v>1</v>
      </c>
      <c r="B29" s="1"/>
      <c r="C29" s="1"/>
      <c r="D29" s="1"/>
      <c r="E29" s="1"/>
      <c r="F29" s="1">
        <v>70.599999999999994</v>
      </c>
      <c r="G29" s="1">
        <v>99.9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</row>
    <row r="30" spans="1:20" x14ac:dyDescent="0.25">
      <c r="A30" s="1" t="s">
        <v>0</v>
      </c>
      <c r="B30" s="1"/>
      <c r="C30" s="1"/>
      <c r="D30" s="3"/>
      <c r="E30" s="3">
        <f>NPV($B$2,G30:T30)+F30</f>
        <v>6489542.6846620291</v>
      </c>
      <c r="F30" s="3">
        <f>'Cost-Benefit (BASE)'!F30/'Cost-Benefit (BASE)'!$B$1*$B$1</f>
        <v>2784207.75</v>
      </c>
      <c r="G30" s="3">
        <f>'Cost-Benefit (BASE)'!G30/'Cost-Benefit (BASE)'!$B$1*$B$1</f>
        <v>3941364.7700000005</v>
      </c>
      <c r="H30" s="3">
        <f>'Cost-Benefit (BASE)'!H30/'Cost-Benefit (BASE)'!$B$1*$B$1</f>
        <v>0</v>
      </c>
      <c r="I30" s="3">
        <f>'Cost-Benefit (BASE)'!I30/'Cost-Benefit (BASE)'!$B$1*$B$1</f>
        <v>0</v>
      </c>
      <c r="J30" s="3">
        <f>'Cost-Benefit (BASE)'!J30/'Cost-Benefit (BASE)'!$B$1*$B$1</f>
        <v>0</v>
      </c>
      <c r="K30" s="3">
        <f>'Cost-Benefit (BASE)'!K30/'Cost-Benefit (BASE)'!$B$1*$B$1</f>
        <v>0</v>
      </c>
      <c r="L30" s="3">
        <f>'Cost-Benefit (BASE)'!L30/'Cost-Benefit (BASE)'!$B$1*$B$1</f>
        <v>0</v>
      </c>
      <c r="M30" s="3">
        <f>'Cost-Benefit (BASE)'!M30/'Cost-Benefit (BASE)'!$B$1*$B$1</f>
        <v>0</v>
      </c>
      <c r="N30" s="3">
        <f>'Cost-Benefit (BASE)'!N30/'Cost-Benefit (BASE)'!$B$1*$B$1</f>
        <v>0</v>
      </c>
      <c r="O30" s="3">
        <f>'Cost-Benefit (BASE)'!O30/'Cost-Benefit (BASE)'!$B$1*$B$1</f>
        <v>0</v>
      </c>
      <c r="P30" s="3">
        <f>'Cost-Benefit (BASE)'!P30/'Cost-Benefit (BASE)'!$B$1*$B$1</f>
        <v>0</v>
      </c>
      <c r="Q30" s="3">
        <f>'Cost-Benefit (BASE)'!Q30/'Cost-Benefit (BASE)'!$B$1*$B$1</f>
        <v>0</v>
      </c>
      <c r="R30" s="3">
        <f>'Cost-Benefit (BASE)'!R30/'Cost-Benefit (BASE)'!$B$1*$B$1</f>
        <v>0</v>
      </c>
      <c r="S30" s="3">
        <f>'Cost-Benefit (BASE)'!S30/'Cost-Benefit (BASE)'!$B$1*$B$1</f>
        <v>0</v>
      </c>
      <c r="T30" s="3">
        <f>'Cost-Benefit (BASE)'!T30/'Cost-Benefit (BASE)'!$B$1*$B$1</f>
        <v>0</v>
      </c>
    </row>
    <row r="31" spans="1:20" x14ac:dyDescent="0.25">
      <c r="A31" s="1" t="s">
        <v>33</v>
      </c>
      <c r="B31" s="1"/>
      <c r="C31" s="1"/>
      <c r="D31" s="3"/>
      <c r="E31" s="3">
        <f>NPV($B$2,G31:T31)+F31</f>
        <v>184551488.45401335</v>
      </c>
      <c r="F31" s="4">
        <f>F$6-F30</f>
        <v>0</v>
      </c>
      <c r="G31" s="4">
        <f t="shared" ref="G31:T31" si="4">G$6-G30</f>
        <v>0</v>
      </c>
      <c r="H31" s="4">
        <f t="shared" si="4"/>
        <v>5882444.3099999996</v>
      </c>
      <c r="I31" s="4">
        <f t="shared" si="4"/>
        <v>8491408.9800000004</v>
      </c>
      <c r="J31" s="4">
        <f t="shared" si="4"/>
        <v>13508407.34</v>
      </c>
      <c r="K31" s="4">
        <f t="shared" si="4"/>
        <v>16944559.32</v>
      </c>
      <c r="L31" s="4">
        <f t="shared" si="4"/>
        <v>17458854.210000001</v>
      </c>
      <c r="M31" s="4">
        <f t="shared" si="4"/>
        <v>22339013.989999998</v>
      </c>
      <c r="N31" s="4">
        <f t="shared" si="4"/>
        <v>28976674.899999999</v>
      </c>
      <c r="O31" s="4">
        <f t="shared" si="4"/>
        <v>35426939.979999997</v>
      </c>
      <c r="P31" s="4">
        <f t="shared" si="4"/>
        <v>35426939.979999997</v>
      </c>
      <c r="Q31" s="4">
        <f t="shared" si="4"/>
        <v>35426939.979999997</v>
      </c>
      <c r="R31" s="4">
        <f t="shared" si="4"/>
        <v>35426939.979999997</v>
      </c>
      <c r="S31" s="4">
        <f t="shared" si="4"/>
        <v>35426939.979999997</v>
      </c>
      <c r="T31" s="4">
        <f t="shared" si="4"/>
        <v>35426939.979999997</v>
      </c>
    </row>
    <row r="32" spans="1:20" x14ac:dyDescent="0.25">
      <c r="A32" s="1" t="s">
        <v>34</v>
      </c>
      <c r="B32" s="1"/>
      <c r="C32" s="1"/>
      <c r="D32" s="3"/>
      <c r="E32" s="3">
        <f>NPV($B$2,G32:T32)+F32</f>
        <v>16776851.959006803</v>
      </c>
      <c r="F32" s="3">
        <f>'Cost-Benefit (BASE)'!F32*'Cost-Benefit (Cost+30%)'!$B$3</f>
        <v>0</v>
      </c>
      <c r="G32" s="3">
        <f>'Cost-Benefit (BASE)'!G32*'Cost-Benefit (Cost+30%)'!$B$3</f>
        <v>0</v>
      </c>
      <c r="H32" s="3">
        <f>'Cost-Benefit (BASE)'!H32*'Cost-Benefit (Cost+30%)'!$B$3</f>
        <v>7091406.5016234359</v>
      </c>
      <c r="I32" s="3">
        <f>'Cost-Benefit (BASE)'!I32*'Cost-Benefit (Cost+30%)'!$B$3</f>
        <v>109030.37496246031</v>
      </c>
      <c r="J32" s="3">
        <f>'Cost-Benefit (BASE)'!J32*'Cost-Benefit (Cost+30%)'!$B$3</f>
        <v>111756.13433652181</v>
      </c>
      <c r="K32" s="3">
        <f>'Cost-Benefit (BASE)'!K32*'Cost-Benefit (Cost+30%)'!$B$3</f>
        <v>3382967.1392531022</v>
      </c>
      <c r="L32" s="3">
        <f>'Cost-Benefit (BASE)'!L32*'Cost-Benefit (Cost+30%)'!$B$3</f>
        <v>167665.70157376502</v>
      </c>
      <c r="M32" s="3">
        <f>'Cost-Benefit (BASE)'!M32*'Cost-Benefit (Cost+30%)'!$B$3</f>
        <v>171857.34411310914</v>
      </c>
      <c r="N32" s="3">
        <f>'Cost-Benefit (BASE)'!N32*'Cost-Benefit (Cost+30%)'!$B$3</f>
        <v>176153.77771593683</v>
      </c>
      <c r="O32" s="3">
        <f>'Cost-Benefit (BASE)'!O32*'Cost-Benefit (Cost+30%)'!$B$3</f>
        <v>180557.62215883523</v>
      </c>
      <c r="P32" s="3">
        <f>'Cost-Benefit (BASE)'!P32*'Cost-Benefit (Cost+30%)'!$B$3</f>
        <v>185071.5627128061</v>
      </c>
      <c r="Q32" s="3">
        <f>'Cost-Benefit (BASE)'!Q32*'Cost-Benefit (Cost+30%)'!$B$3</f>
        <v>189698.35178062625</v>
      </c>
      <c r="R32" s="3">
        <f>'Cost-Benefit (BASE)'!R32*'Cost-Benefit (Cost+30%)'!$B$3</f>
        <v>194440.81057514189</v>
      </c>
      <c r="S32" s="3">
        <f>'Cost-Benefit (BASE)'!S32*'Cost-Benefit (Cost+30%)'!$B$3</f>
        <v>199301.83083952041</v>
      </c>
      <c r="T32" s="3">
        <f>'Cost-Benefit (BASE)'!T32*'Cost-Benefit (Cost+30%)'!$B$3</f>
        <v>16690825.772234103</v>
      </c>
    </row>
    <row r="33" spans="1:20" x14ac:dyDescent="0.25">
      <c r="A33" s="1" t="s">
        <v>35</v>
      </c>
      <c r="E33" s="4">
        <f>E31-E32</f>
        <v>167774636.49500653</v>
      </c>
    </row>
    <row r="34" spans="1:20" s="12" customFormat="1" x14ac:dyDescent="0.25">
      <c r="A34" s="8" t="s">
        <v>12</v>
      </c>
      <c r="B34" s="13"/>
      <c r="C34" s="1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</row>
    <row r="35" spans="1:20" x14ac:dyDescent="0.25">
      <c r="A35" s="1" t="s">
        <v>1</v>
      </c>
      <c r="B35" s="1"/>
      <c r="C35" s="1"/>
      <c r="D35" s="1"/>
      <c r="E35" s="1"/>
      <c r="F35" s="1">
        <v>70.599999999999994</v>
      </c>
      <c r="G35" s="1">
        <v>99.9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</row>
    <row r="36" spans="1:20" x14ac:dyDescent="0.25">
      <c r="A36" s="1" t="s">
        <v>0</v>
      </c>
      <c r="B36" s="1"/>
      <c r="C36" s="1"/>
      <c r="D36" s="3"/>
      <c r="E36" s="3">
        <f>NPV($B$2,G36:T36)+F36</f>
        <v>6489542.6846620291</v>
      </c>
      <c r="F36" s="3">
        <f>'Cost-Benefit (BASE)'!F36/'Cost-Benefit (BASE)'!$B$1*$B$1</f>
        <v>2784207.75</v>
      </c>
      <c r="G36" s="3">
        <f>'Cost-Benefit (BASE)'!G36/'Cost-Benefit (BASE)'!$B$1*$B$1</f>
        <v>3941364.7700000005</v>
      </c>
      <c r="H36" s="3">
        <f>'Cost-Benefit (BASE)'!H36/'Cost-Benefit (BASE)'!$B$1*$B$1</f>
        <v>0</v>
      </c>
      <c r="I36" s="3">
        <f>'Cost-Benefit (BASE)'!I36/'Cost-Benefit (BASE)'!$B$1*$B$1</f>
        <v>0</v>
      </c>
      <c r="J36" s="3">
        <f>'Cost-Benefit (BASE)'!J36/'Cost-Benefit (BASE)'!$B$1*$B$1</f>
        <v>0</v>
      </c>
      <c r="K36" s="3">
        <f>'Cost-Benefit (BASE)'!K36/'Cost-Benefit (BASE)'!$B$1*$B$1</f>
        <v>0</v>
      </c>
      <c r="L36" s="3">
        <f>'Cost-Benefit (BASE)'!L36/'Cost-Benefit (BASE)'!$B$1*$B$1</f>
        <v>0</v>
      </c>
      <c r="M36" s="3">
        <f>'Cost-Benefit (BASE)'!M36/'Cost-Benefit (BASE)'!$B$1*$B$1</f>
        <v>0</v>
      </c>
      <c r="N36" s="3">
        <f>'Cost-Benefit (BASE)'!N36/'Cost-Benefit (BASE)'!$B$1*$B$1</f>
        <v>0</v>
      </c>
      <c r="O36" s="3">
        <f>'Cost-Benefit (BASE)'!O36/'Cost-Benefit (BASE)'!$B$1*$B$1</f>
        <v>0</v>
      </c>
      <c r="P36" s="3">
        <f>'Cost-Benefit (BASE)'!P36/'Cost-Benefit (BASE)'!$B$1*$B$1</f>
        <v>0</v>
      </c>
      <c r="Q36" s="3">
        <f>'Cost-Benefit (BASE)'!Q36/'Cost-Benefit (BASE)'!$B$1*$B$1</f>
        <v>0</v>
      </c>
      <c r="R36" s="3">
        <f>'Cost-Benefit (BASE)'!R36/'Cost-Benefit (BASE)'!$B$1*$B$1</f>
        <v>0</v>
      </c>
      <c r="S36" s="3">
        <f>'Cost-Benefit (BASE)'!S36/'Cost-Benefit (BASE)'!$B$1*$B$1</f>
        <v>0</v>
      </c>
      <c r="T36" s="3">
        <f>'Cost-Benefit (BASE)'!T36/'Cost-Benefit (BASE)'!$B$1*$B$1</f>
        <v>0</v>
      </c>
    </row>
    <row r="37" spans="1:20" x14ac:dyDescent="0.25">
      <c r="A37" s="1" t="s">
        <v>33</v>
      </c>
      <c r="B37" s="1"/>
      <c r="C37" s="1"/>
      <c r="D37" s="3"/>
      <c r="E37" s="3">
        <f>NPV($B$2,G37:T37)+F37</f>
        <v>184551488.45401335</v>
      </c>
      <c r="F37" s="4">
        <f>F$6-F36</f>
        <v>0</v>
      </c>
      <c r="G37" s="4">
        <f t="shared" ref="G37:T37" si="5">G$6-G36</f>
        <v>0</v>
      </c>
      <c r="H37" s="4">
        <f t="shared" si="5"/>
        <v>5882444.3099999996</v>
      </c>
      <c r="I37" s="4">
        <f t="shared" si="5"/>
        <v>8491408.9800000004</v>
      </c>
      <c r="J37" s="4">
        <f t="shared" si="5"/>
        <v>13508407.34</v>
      </c>
      <c r="K37" s="4">
        <f t="shared" si="5"/>
        <v>16944559.32</v>
      </c>
      <c r="L37" s="4">
        <f t="shared" si="5"/>
        <v>17458854.210000001</v>
      </c>
      <c r="M37" s="4">
        <f t="shared" si="5"/>
        <v>22339013.989999998</v>
      </c>
      <c r="N37" s="4">
        <f t="shared" si="5"/>
        <v>28976674.899999999</v>
      </c>
      <c r="O37" s="4">
        <f t="shared" si="5"/>
        <v>35426939.979999997</v>
      </c>
      <c r="P37" s="4">
        <f t="shared" si="5"/>
        <v>35426939.979999997</v>
      </c>
      <c r="Q37" s="4">
        <f t="shared" si="5"/>
        <v>35426939.979999997</v>
      </c>
      <c r="R37" s="4">
        <f t="shared" si="5"/>
        <v>35426939.979999997</v>
      </c>
      <c r="S37" s="4">
        <f t="shared" si="5"/>
        <v>35426939.979999997</v>
      </c>
      <c r="T37" s="4">
        <f t="shared" si="5"/>
        <v>35426939.979999997</v>
      </c>
    </row>
    <row r="38" spans="1:20" x14ac:dyDescent="0.25">
      <c r="A38" s="1" t="s">
        <v>34</v>
      </c>
      <c r="B38" s="1"/>
      <c r="C38" s="1"/>
      <c r="D38" s="3"/>
      <c r="E38" s="3">
        <f>NPV($B$2,G38:T38)+F38</f>
        <v>25645724.411671046</v>
      </c>
      <c r="F38" s="3">
        <f>'Cost-Benefit (BASE)'!F38*'Cost-Benefit (Cost+30%)'!$B$3</f>
        <v>0</v>
      </c>
      <c r="G38" s="3">
        <f>'Cost-Benefit (BASE)'!G38*'Cost-Benefit (Cost+30%)'!$B$3</f>
        <v>0</v>
      </c>
      <c r="H38" s="3">
        <f>'Cost-Benefit (BASE)'!H38*'Cost-Benefit (Cost+30%)'!$B$3</f>
        <v>22750525.214474309</v>
      </c>
      <c r="I38" s="3">
        <f>'Cost-Benefit (BASE)'!I38*'Cost-Benefit (Cost+30%)'!$B$3</f>
        <v>349789.32517254254</v>
      </c>
      <c r="J38" s="3">
        <f>'Cost-Benefit (BASE)'!J38*'Cost-Benefit (Cost+30%)'!$B$3</f>
        <v>358534.0583018561</v>
      </c>
      <c r="K38" s="3">
        <f>'Cost-Benefit (BASE)'!K38*'Cost-Benefit (Cost+30%)'!$B$3</f>
        <v>3635914.5113175702</v>
      </c>
      <c r="L38" s="3">
        <f>'Cost-Benefit (BASE)'!L38*'Cost-Benefit (Cost+30%)'!$B$3</f>
        <v>426936.75793984433</v>
      </c>
      <c r="M38" s="3">
        <f>'Cost-Benefit (BASE)'!M38*'Cost-Benefit (Cost+30%)'!$B$3</f>
        <v>437610.17688834039</v>
      </c>
      <c r="N38" s="3">
        <f>'Cost-Benefit (BASE)'!N38*'Cost-Benefit (Cost+30%)'!$B$3</f>
        <v>448550.43131054891</v>
      </c>
      <c r="O38" s="3">
        <f>'Cost-Benefit (BASE)'!O38*'Cost-Benefit (Cost+30%)'!$B$3</f>
        <v>459764.19209331257</v>
      </c>
      <c r="P38" s="3">
        <f>'Cost-Benefit (BASE)'!P38*'Cost-Benefit (Cost+30%)'!$B$3</f>
        <v>471258.29689564538</v>
      </c>
      <c r="Q38" s="3">
        <f>'Cost-Benefit (BASE)'!Q38*'Cost-Benefit (Cost+30%)'!$B$3</f>
        <v>483039.75431803649</v>
      </c>
      <c r="R38" s="3">
        <f>'Cost-Benefit (BASE)'!R38*'Cost-Benefit (Cost+30%)'!$B$3</f>
        <v>495115.74817598739</v>
      </c>
      <c r="S38" s="3">
        <f>'Cost-Benefit (BASE)'!S38*'Cost-Benefit (Cost+30%)'!$B$3</f>
        <v>507493.64188038703</v>
      </c>
      <c r="T38" s="3">
        <f>'Cost-Benefit (BASE)'!T38*'Cost-Benefit (Cost+30%)'!$B$3</f>
        <v>520180.98292739672</v>
      </c>
    </row>
    <row r="39" spans="1:20" x14ac:dyDescent="0.25">
      <c r="A39" s="1" t="s">
        <v>35</v>
      </c>
      <c r="E39" s="4">
        <f>E37-E38</f>
        <v>158905764.04234231</v>
      </c>
    </row>
    <row r="40" spans="1:20" s="12" customFormat="1" x14ac:dyDescent="0.25">
      <c r="A40" s="8" t="s">
        <v>13</v>
      </c>
      <c r="B40" s="13"/>
      <c r="C40" s="13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" t="s">
        <v>1</v>
      </c>
      <c r="B41" s="1"/>
      <c r="C41" s="1"/>
      <c r="D41" s="1"/>
      <c r="E41" s="1"/>
      <c r="F41" s="1">
        <v>70.599999999999994</v>
      </c>
      <c r="G41" s="1">
        <v>99.9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</row>
    <row r="42" spans="1:20" x14ac:dyDescent="0.25">
      <c r="A42" s="1" t="s">
        <v>0</v>
      </c>
      <c r="B42" s="1"/>
      <c r="C42" s="1"/>
      <c r="D42" s="3"/>
      <c r="E42" s="3">
        <f>NPV($B$2,G42:T42)+F42</f>
        <v>6489542.6846620291</v>
      </c>
      <c r="F42" s="3">
        <f>'Cost-Benefit (BASE)'!F42/'Cost-Benefit (BASE)'!$B$1*$B$1</f>
        <v>2784207.75</v>
      </c>
      <c r="G42" s="3">
        <f>'Cost-Benefit (BASE)'!G42/'Cost-Benefit (BASE)'!$B$1*$B$1</f>
        <v>3941364.7700000005</v>
      </c>
      <c r="H42" s="3">
        <f>'Cost-Benefit (BASE)'!H42/'Cost-Benefit (BASE)'!$B$1*$B$1</f>
        <v>0</v>
      </c>
      <c r="I42" s="3">
        <f>'Cost-Benefit (BASE)'!I42/'Cost-Benefit (BASE)'!$B$1*$B$1</f>
        <v>0</v>
      </c>
      <c r="J42" s="3">
        <f>'Cost-Benefit (BASE)'!J42/'Cost-Benefit (BASE)'!$B$1*$B$1</f>
        <v>0</v>
      </c>
      <c r="K42" s="3">
        <f>'Cost-Benefit (BASE)'!K42/'Cost-Benefit (BASE)'!$B$1*$B$1</f>
        <v>0</v>
      </c>
      <c r="L42" s="3">
        <f>'Cost-Benefit (BASE)'!L42/'Cost-Benefit (BASE)'!$B$1*$B$1</f>
        <v>0</v>
      </c>
      <c r="M42" s="3">
        <f>'Cost-Benefit (BASE)'!M42/'Cost-Benefit (BASE)'!$B$1*$B$1</f>
        <v>0</v>
      </c>
      <c r="N42" s="3">
        <f>'Cost-Benefit (BASE)'!N42/'Cost-Benefit (BASE)'!$B$1*$B$1</f>
        <v>0</v>
      </c>
      <c r="O42" s="3">
        <f>'Cost-Benefit (BASE)'!O42/'Cost-Benefit (BASE)'!$B$1*$B$1</f>
        <v>0</v>
      </c>
      <c r="P42" s="3">
        <f>'Cost-Benefit (BASE)'!P42/'Cost-Benefit (BASE)'!$B$1*$B$1</f>
        <v>0</v>
      </c>
      <c r="Q42" s="3">
        <f>'Cost-Benefit (BASE)'!Q42/'Cost-Benefit (BASE)'!$B$1*$B$1</f>
        <v>0</v>
      </c>
      <c r="R42" s="3">
        <f>'Cost-Benefit (BASE)'!R42/'Cost-Benefit (BASE)'!$B$1*$B$1</f>
        <v>0</v>
      </c>
      <c r="S42" s="3">
        <f>'Cost-Benefit (BASE)'!S42/'Cost-Benefit (BASE)'!$B$1*$B$1</f>
        <v>0</v>
      </c>
      <c r="T42" s="3">
        <f>'Cost-Benefit (BASE)'!T42/'Cost-Benefit (BASE)'!$B$1*$B$1</f>
        <v>0</v>
      </c>
    </row>
    <row r="43" spans="1:20" x14ac:dyDescent="0.25">
      <c r="A43" s="1" t="s">
        <v>33</v>
      </c>
      <c r="B43" s="1"/>
      <c r="C43" s="1"/>
      <c r="D43" s="3"/>
      <c r="E43" s="3">
        <f>NPV($B$2,G43:T43)+F43</f>
        <v>184551488.45401335</v>
      </c>
      <c r="F43" s="4">
        <f>F$6-F42</f>
        <v>0</v>
      </c>
      <c r="G43" s="4">
        <f t="shared" ref="G43:T43" si="6">G$6-G42</f>
        <v>0</v>
      </c>
      <c r="H43" s="4">
        <f t="shared" si="6"/>
        <v>5882444.3099999996</v>
      </c>
      <c r="I43" s="4">
        <f t="shared" si="6"/>
        <v>8491408.9800000004</v>
      </c>
      <c r="J43" s="4">
        <f t="shared" si="6"/>
        <v>13508407.34</v>
      </c>
      <c r="K43" s="4">
        <f t="shared" si="6"/>
        <v>16944559.32</v>
      </c>
      <c r="L43" s="4">
        <f t="shared" si="6"/>
        <v>17458854.210000001</v>
      </c>
      <c r="M43" s="4">
        <f t="shared" si="6"/>
        <v>22339013.989999998</v>
      </c>
      <c r="N43" s="4">
        <f t="shared" si="6"/>
        <v>28976674.899999999</v>
      </c>
      <c r="O43" s="4">
        <f t="shared" si="6"/>
        <v>35426939.979999997</v>
      </c>
      <c r="P43" s="4">
        <f t="shared" si="6"/>
        <v>35426939.979999997</v>
      </c>
      <c r="Q43" s="4">
        <f t="shared" si="6"/>
        <v>35426939.979999997</v>
      </c>
      <c r="R43" s="4">
        <f t="shared" si="6"/>
        <v>35426939.979999997</v>
      </c>
      <c r="S43" s="4">
        <f t="shared" si="6"/>
        <v>35426939.979999997</v>
      </c>
      <c r="T43" s="4">
        <f t="shared" si="6"/>
        <v>35426939.979999997</v>
      </c>
    </row>
    <row r="44" spans="1:20" x14ac:dyDescent="0.25">
      <c r="A44" s="1" t="s">
        <v>34</v>
      </c>
      <c r="B44" s="1"/>
      <c r="C44" s="1"/>
      <c r="D44" s="3"/>
      <c r="E44" s="3">
        <f>NPV($B$2,G44:T44)+F44</f>
        <v>59264603.910929784</v>
      </c>
      <c r="F44" s="3">
        <f>'Cost-Benefit (BASE)'!F44*'Cost-Benefit (Cost+30%)'!$B$3</f>
        <v>0</v>
      </c>
      <c r="G44" s="3">
        <f>'Cost-Benefit (BASE)'!G44*'Cost-Benefit (Cost+30%)'!$B$3</f>
        <v>0</v>
      </c>
      <c r="H44" s="3">
        <f>'Cost-Benefit (BASE)'!H44*'Cost-Benefit (Cost+30%)'!$B$3</f>
        <v>58685291.70944076</v>
      </c>
      <c r="I44" s="3">
        <f>'Cost-Benefit (BASE)'!I44*'Cost-Benefit (Cost+30%)'!$B$3</f>
        <v>902286.36003265157</v>
      </c>
      <c r="J44" s="3">
        <f>'Cost-Benefit (BASE)'!J44*'Cost-Benefit (Cost+30%)'!$B$3</f>
        <v>924843.51903346775</v>
      </c>
      <c r="K44" s="3">
        <f>'Cost-Benefit (BASE)'!K44*'Cost-Benefit (Cost+30%)'!$B$3</f>
        <v>947964.60700930434</v>
      </c>
      <c r="L44" s="3">
        <f>'Cost-Benefit (BASE)'!L44*'Cost-Benefit (Cost+30%)'!$B$3</f>
        <v>971663.72218453686</v>
      </c>
      <c r="M44" s="3">
        <f>'Cost-Benefit (BASE)'!M44*'Cost-Benefit (Cost+30%)'!$B$3</f>
        <v>995955.31523915019</v>
      </c>
      <c r="N44" s="3">
        <f>'Cost-Benefit (BASE)'!N44*'Cost-Benefit (Cost+30%)'!$B$3</f>
        <v>1020854.1981201289</v>
      </c>
      <c r="O44" s="3">
        <f>'Cost-Benefit (BASE)'!O44*'Cost-Benefit (Cost+30%)'!$B$3</f>
        <v>1046375.5530731321</v>
      </c>
      <c r="P44" s="3">
        <f>'Cost-Benefit (BASE)'!P44*'Cost-Benefit (Cost+30%)'!$B$3</f>
        <v>1072534.9418999602</v>
      </c>
      <c r="Q44" s="3">
        <f>'Cost-Benefit (BASE)'!Q44*'Cost-Benefit (Cost+30%)'!$B$3</f>
        <v>1099348.3154474592</v>
      </c>
      <c r="R44" s="3">
        <f>'Cost-Benefit (BASE)'!R44*'Cost-Benefit (Cost+30%)'!$B$3</f>
        <v>1126832.0233336454</v>
      </c>
      <c r="S44" s="3">
        <f>'Cost-Benefit (BASE)'!S44*'Cost-Benefit (Cost+30%)'!$B$3</f>
        <v>1155002.8239169866</v>
      </c>
      <c r="T44" s="3">
        <f>'Cost-Benefit (BASE)'!T44*'Cost-Benefit (Cost+30%)'!$B$3</f>
        <v>1183877.8945149111</v>
      </c>
    </row>
    <row r="45" spans="1:20" x14ac:dyDescent="0.25">
      <c r="A45" s="1" t="s">
        <v>35</v>
      </c>
      <c r="E45" s="4">
        <f>E43-E44</f>
        <v>125286884.54308356</v>
      </c>
    </row>
    <row r="46" spans="1:20" s="12" customFormat="1" x14ac:dyDescent="0.25">
      <c r="A46" s="8" t="s">
        <v>14</v>
      </c>
      <c r="B46" s="13"/>
      <c r="C46" s="13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</row>
    <row r="47" spans="1:20" x14ac:dyDescent="0.25">
      <c r="A47" s="1" t="s">
        <v>1</v>
      </c>
      <c r="B47" s="1"/>
      <c r="C47" s="1"/>
      <c r="D47" s="1"/>
      <c r="E47" s="1"/>
      <c r="F47" s="1">
        <v>70.599999999999994</v>
      </c>
      <c r="G47" s="1">
        <v>99.9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</row>
    <row r="48" spans="1:20" x14ac:dyDescent="0.25">
      <c r="A48" s="1" t="s">
        <v>0</v>
      </c>
      <c r="B48" s="1"/>
      <c r="C48" s="1"/>
      <c r="D48" s="3"/>
      <c r="E48" s="3">
        <f>NPV($B$2,G48:T48)+F48</f>
        <v>6492962.8727462767</v>
      </c>
      <c r="F48" s="3">
        <f>'Cost-Benefit (BASE)'!F48/'Cost-Benefit (BASE)'!$B$1*$B$1</f>
        <v>2784207.75</v>
      </c>
      <c r="G48" s="3">
        <f>'Cost-Benefit (BASE)'!G48/'Cost-Benefit (BASE)'!$B$1*$B$1</f>
        <v>3941364.7700000005</v>
      </c>
      <c r="H48" s="3">
        <f>'Cost-Benefit (BASE)'!H48/'Cost-Benefit (BASE)'!$B$1*$B$1</f>
        <v>0</v>
      </c>
      <c r="I48" s="3">
        <f>'Cost-Benefit (BASE)'!I48/'Cost-Benefit (BASE)'!$B$1*$B$1</f>
        <v>0</v>
      </c>
      <c r="J48" s="3">
        <f>'Cost-Benefit (BASE)'!J48/'Cost-Benefit (BASE)'!$B$1*$B$1</f>
        <v>119.38</v>
      </c>
      <c r="K48" s="3">
        <f>'Cost-Benefit (BASE)'!K48/'Cost-Benefit (BASE)'!$B$1*$B$1</f>
        <v>260.83</v>
      </c>
      <c r="L48" s="3">
        <f>'Cost-Benefit (BASE)'!L48/'Cost-Benefit (BASE)'!$B$1*$B$1</f>
        <v>264.37</v>
      </c>
      <c r="M48" s="3">
        <f>'Cost-Benefit (BASE)'!M48/'Cost-Benefit (BASE)'!$B$1*$B$1</f>
        <v>382.31999999999994</v>
      </c>
      <c r="N48" s="3">
        <f>'Cost-Benefit (BASE)'!N48/'Cost-Benefit (BASE)'!$B$1*$B$1</f>
        <v>662.97</v>
      </c>
      <c r="O48" s="3">
        <f>'Cost-Benefit (BASE)'!O48/'Cost-Benefit (BASE)'!$B$1*$B$1</f>
        <v>775.58</v>
      </c>
      <c r="P48" s="3">
        <f>'Cost-Benefit (BASE)'!P48/'Cost-Benefit (BASE)'!$B$1*$B$1</f>
        <v>775.58</v>
      </c>
      <c r="Q48" s="3">
        <f>'Cost-Benefit (BASE)'!Q48/'Cost-Benefit (BASE)'!$B$1*$B$1</f>
        <v>775.58</v>
      </c>
      <c r="R48" s="3">
        <f>'Cost-Benefit (BASE)'!R48/'Cost-Benefit (BASE)'!$B$1*$B$1</f>
        <v>775.58</v>
      </c>
      <c r="S48" s="3">
        <f>'Cost-Benefit (BASE)'!S48/'Cost-Benefit (BASE)'!$B$1*$B$1</f>
        <v>775.58</v>
      </c>
      <c r="T48" s="3">
        <f>'Cost-Benefit (BASE)'!T48/'Cost-Benefit (BASE)'!$B$1*$B$1</f>
        <v>775.58</v>
      </c>
    </row>
    <row r="49" spans="1:20" x14ac:dyDescent="0.25">
      <c r="A49" s="1" t="s">
        <v>33</v>
      </c>
      <c r="B49" s="1"/>
      <c r="C49" s="1"/>
      <c r="D49" s="3"/>
      <c r="E49" s="3">
        <f>NPV($B$2,G49:T49)+F49</f>
        <v>184548068.26592907</v>
      </c>
      <c r="F49" s="4">
        <f>F$6-F48</f>
        <v>0</v>
      </c>
      <c r="G49" s="4">
        <f t="shared" ref="G49:T49" si="7">G$6-G48</f>
        <v>0</v>
      </c>
      <c r="H49" s="4">
        <f t="shared" si="7"/>
        <v>5882444.3099999996</v>
      </c>
      <c r="I49" s="4">
        <f t="shared" si="7"/>
        <v>8491408.9800000004</v>
      </c>
      <c r="J49" s="4">
        <f t="shared" si="7"/>
        <v>13508287.959999999</v>
      </c>
      <c r="K49" s="4">
        <f t="shared" si="7"/>
        <v>16944298.490000002</v>
      </c>
      <c r="L49" s="4">
        <f t="shared" si="7"/>
        <v>17458589.84</v>
      </c>
      <c r="M49" s="4">
        <f t="shared" si="7"/>
        <v>22338631.669999998</v>
      </c>
      <c r="N49" s="4">
        <f t="shared" si="7"/>
        <v>28976011.93</v>
      </c>
      <c r="O49" s="4">
        <f t="shared" si="7"/>
        <v>35426164.399999999</v>
      </c>
      <c r="P49" s="4">
        <f t="shared" si="7"/>
        <v>35426164.399999999</v>
      </c>
      <c r="Q49" s="4">
        <f t="shared" si="7"/>
        <v>35426164.399999999</v>
      </c>
      <c r="R49" s="4">
        <f t="shared" si="7"/>
        <v>35426164.399999999</v>
      </c>
      <c r="S49" s="4">
        <f t="shared" si="7"/>
        <v>35426164.399999999</v>
      </c>
      <c r="T49" s="4">
        <f t="shared" si="7"/>
        <v>35426164.399999999</v>
      </c>
    </row>
    <row r="50" spans="1:20" x14ac:dyDescent="0.25">
      <c r="A50" s="1" t="s">
        <v>34</v>
      </c>
      <c r="B50" s="1"/>
      <c r="C50" s="1"/>
      <c r="D50" s="3"/>
      <c r="E50" s="3">
        <f>NPV($B$2,G50:T50)+F50</f>
        <v>21429843.995301083</v>
      </c>
      <c r="F50" s="3">
        <f>'Cost-Benefit (BASE)'!F50*'Cost-Benefit (Cost+30%)'!$B$3</f>
        <v>0</v>
      </c>
      <c r="G50" s="3">
        <f>'Cost-Benefit (BASE)'!G50*'Cost-Benefit (Cost+30%)'!$B$3</f>
        <v>0</v>
      </c>
      <c r="H50" s="3">
        <f>'Cost-Benefit (BASE)'!H50*'Cost-Benefit (Cost+30%)'!$B$3</f>
        <v>9054403.5470281225</v>
      </c>
      <c r="I50" s="3">
        <f>'Cost-Benefit (BASE)'!I50*'Cost-Benefit (Cost+30%)'!$B$3</f>
        <v>139211.45453555736</v>
      </c>
      <c r="J50" s="3">
        <f>'Cost-Benefit (BASE)'!J50*'Cost-Benefit (Cost+30%)'!$B$3</f>
        <v>142691.7408989463</v>
      </c>
      <c r="K50" s="3">
        <f>'Cost-Benefit (BASE)'!K50*'Cost-Benefit (Cost+30%)'!$B$3</f>
        <v>6683093.2375377556</v>
      </c>
      <c r="L50" s="3">
        <f>'Cost-Benefit (BASE)'!L50*'Cost-Benefit (Cost+30%)'!$B$3</f>
        <v>250419.33615486906</v>
      </c>
      <c r="M50" s="3">
        <f>'Cost-Benefit (BASE)'!M50*'Cost-Benefit (Cost+30%)'!$B$3</f>
        <v>256679.81955874077</v>
      </c>
      <c r="N50" s="3">
        <f>'Cost-Benefit (BASE)'!N50*'Cost-Benefit (Cost+30%)'!$B$3</f>
        <v>263096.81504770927</v>
      </c>
      <c r="O50" s="3">
        <f>'Cost-Benefit (BASE)'!O50*'Cost-Benefit (Cost+30%)'!$B$3</f>
        <v>269674.23542390193</v>
      </c>
      <c r="P50" s="3">
        <f>'Cost-Benefit (BASE)'!P50*'Cost-Benefit (Cost+30%)'!$B$3</f>
        <v>276416.09130949946</v>
      </c>
      <c r="Q50" s="3">
        <f>'Cost-Benefit (BASE)'!Q50*'Cost-Benefit (Cost+30%)'!$B$3</f>
        <v>283326.49359223695</v>
      </c>
      <c r="R50" s="3">
        <f>'Cost-Benefit (BASE)'!R50*'Cost-Benefit (Cost+30%)'!$B$3</f>
        <v>290409.65593204286</v>
      </c>
      <c r="S50" s="3">
        <f>'Cost-Benefit (BASE)'!S50*'Cost-Benefit (Cost+30%)'!$B$3</f>
        <v>297669.8973303439</v>
      </c>
      <c r="T50" s="3">
        <f>'Cost-Benefit (BASE)'!T50*'Cost-Benefit (Cost+30%)'!$B$3</f>
        <v>16791653.040387198</v>
      </c>
    </row>
    <row r="51" spans="1:20" x14ac:dyDescent="0.25">
      <c r="A51" s="1" t="s">
        <v>35</v>
      </c>
      <c r="E51" s="4">
        <f>E49-E50</f>
        <v>163118224.27062798</v>
      </c>
    </row>
    <row r="52" spans="1:20" s="12" customFormat="1" x14ac:dyDescent="0.25">
      <c r="A52" s="8" t="s">
        <v>15</v>
      </c>
      <c r="B52" s="13"/>
      <c r="C52" s="13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</row>
    <row r="53" spans="1:20" x14ac:dyDescent="0.25">
      <c r="A53" s="1" t="s">
        <v>1</v>
      </c>
      <c r="B53" s="1"/>
      <c r="C53" s="1"/>
      <c r="D53" s="1"/>
      <c r="E53" s="1"/>
      <c r="F53" s="1">
        <v>70.599999999999994</v>
      </c>
      <c r="G53" s="1">
        <v>99.9</v>
      </c>
      <c r="H53" s="37">
        <v>0.6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</row>
    <row r="54" spans="1:20" x14ac:dyDescent="0.25">
      <c r="A54" s="1" t="s">
        <v>0</v>
      </c>
      <c r="B54" s="1"/>
      <c r="C54" s="1"/>
      <c r="D54" s="3"/>
      <c r="E54" s="3">
        <f>NPV($B$2,G54:T54)+F54</f>
        <v>6510457.2979163695</v>
      </c>
      <c r="F54" s="3">
        <f>'Cost-Benefit (BASE)'!F54/'Cost-Benefit (BASE)'!$B$1*$B$1</f>
        <v>2784207.75</v>
      </c>
      <c r="G54" s="3">
        <f>'Cost-Benefit (BASE)'!G54/'Cost-Benefit (BASE)'!$B$1*$B$1</f>
        <v>3941364.7700000005</v>
      </c>
      <c r="H54" s="3">
        <f>'Cost-Benefit (BASE)'!H54/'Cost-Benefit (BASE)'!$B$1*$B$1</f>
        <v>23664</v>
      </c>
      <c r="I54" s="3">
        <f>'Cost-Benefit (BASE)'!I54/'Cost-Benefit (BASE)'!$B$1*$B$1</f>
        <v>0</v>
      </c>
      <c r="J54" s="3">
        <f>'Cost-Benefit (BASE)'!J54/'Cost-Benefit (BASE)'!$B$1*$B$1</f>
        <v>0</v>
      </c>
      <c r="K54" s="3">
        <f>'Cost-Benefit (BASE)'!K54/'Cost-Benefit (BASE)'!$B$1*$B$1</f>
        <v>0</v>
      </c>
      <c r="L54" s="3">
        <f>'Cost-Benefit (BASE)'!L54/'Cost-Benefit (BASE)'!$B$1*$B$1</f>
        <v>0</v>
      </c>
      <c r="M54" s="3">
        <f>'Cost-Benefit (BASE)'!M54/'Cost-Benefit (BASE)'!$B$1*$B$1</f>
        <v>0</v>
      </c>
      <c r="N54" s="3">
        <f>'Cost-Benefit (BASE)'!N54/'Cost-Benefit (BASE)'!$B$1*$B$1</f>
        <v>0</v>
      </c>
      <c r="O54" s="3">
        <f>'Cost-Benefit (BASE)'!O54/'Cost-Benefit (BASE)'!$B$1*$B$1</f>
        <v>0</v>
      </c>
      <c r="P54" s="3">
        <f>'Cost-Benefit (BASE)'!P54/'Cost-Benefit (BASE)'!$B$1*$B$1</f>
        <v>0</v>
      </c>
      <c r="Q54" s="3">
        <f>'Cost-Benefit (BASE)'!Q54/'Cost-Benefit (BASE)'!$B$1*$B$1</f>
        <v>0</v>
      </c>
      <c r="R54" s="3">
        <f>'Cost-Benefit (BASE)'!R54/'Cost-Benefit (BASE)'!$B$1*$B$1</f>
        <v>0</v>
      </c>
      <c r="S54" s="3">
        <f>'Cost-Benefit (BASE)'!S54/'Cost-Benefit (BASE)'!$B$1*$B$1</f>
        <v>0</v>
      </c>
      <c r="T54" s="3">
        <f>'Cost-Benefit (BASE)'!T54/'Cost-Benefit (BASE)'!$B$1*$B$1</f>
        <v>0</v>
      </c>
    </row>
    <row r="55" spans="1:20" x14ac:dyDescent="0.25">
      <c r="A55" s="1" t="s">
        <v>33</v>
      </c>
      <c r="B55" s="1"/>
      <c r="C55" s="1"/>
      <c r="D55" s="3"/>
      <c r="E55" s="3">
        <f>NPV($B$2,G55:T55)+F55</f>
        <v>184530573.84075901</v>
      </c>
      <c r="F55" s="4">
        <f>F$6-F54</f>
        <v>0</v>
      </c>
      <c r="G55" s="4">
        <f t="shared" ref="G55:T55" si="8">G$6-G54</f>
        <v>0</v>
      </c>
      <c r="H55" s="4">
        <f t="shared" si="8"/>
        <v>5858780.3099999996</v>
      </c>
      <c r="I55" s="4">
        <f t="shared" si="8"/>
        <v>8491408.9800000004</v>
      </c>
      <c r="J55" s="4">
        <f t="shared" si="8"/>
        <v>13508407.34</v>
      </c>
      <c r="K55" s="4">
        <f t="shared" si="8"/>
        <v>16944559.32</v>
      </c>
      <c r="L55" s="4">
        <f t="shared" si="8"/>
        <v>17458854.210000001</v>
      </c>
      <c r="M55" s="4">
        <f t="shared" si="8"/>
        <v>22339013.989999998</v>
      </c>
      <c r="N55" s="4">
        <f t="shared" si="8"/>
        <v>28976674.899999999</v>
      </c>
      <c r="O55" s="4">
        <f t="shared" si="8"/>
        <v>35426939.979999997</v>
      </c>
      <c r="P55" s="4">
        <f t="shared" si="8"/>
        <v>35426939.979999997</v>
      </c>
      <c r="Q55" s="4">
        <f t="shared" si="8"/>
        <v>35426939.979999997</v>
      </c>
      <c r="R55" s="4">
        <f t="shared" si="8"/>
        <v>35426939.979999997</v>
      </c>
      <c r="S55" s="4">
        <f t="shared" si="8"/>
        <v>35426939.979999997</v>
      </c>
      <c r="T55" s="4">
        <f t="shared" si="8"/>
        <v>35426939.979999997</v>
      </c>
    </row>
    <row r="56" spans="1:20" x14ac:dyDescent="0.25">
      <c r="A56" s="1" t="s">
        <v>34</v>
      </c>
      <c r="B56" s="1"/>
      <c r="C56" s="1"/>
      <c r="D56" s="3"/>
      <c r="E56" s="3">
        <f>NPV($B$2,G56:T56)+F56</f>
        <v>18011566.06958703</v>
      </c>
      <c r="F56" s="3">
        <f>'Cost-Benefit (BASE)'!F56*'Cost-Benefit (Cost+30%)'!$B$3</f>
        <v>0</v>
      </c>
      <c r="G56" s="3">
        <f>'Cost-Benefit (BASE)'!G56*'Cost-Benefit (Cost+30%)'!$B$3</f>
        <v>0</v>
      </c>
      <c r="H56" s="3">
        <f>'Cost-Benefit (BASE)'!H56*'Cost-Benefit (Cost+30%)'!$B$3</f>
        <v>2320617.8125</v>
      </c>
      <c r="I56" s="3">
        <f>'Cost-Benefit (BASE)'!I56*'Cost-Benefit (Cost+30%)'!$B$3</f>
        <v>9576889.9219865594</v>
      </c>
      <c r="J56" s="3">
        <f>'Cost-Benefit (BASE)'!J56*'Cost-Benefit (Cost+30%)'!$B$3</f>
        <v>147244.68255054337</v>
      </c>
      <c r="K56" s="3">
        <f>'Cost-Benefit (BASE)'!K56*'Cost-Benefit (Cost+30%)'!$B$3</f>
        <v>150925.79961430695</v>
      </c>
      <c r="L56" s="3">
        <f>'Cost-Benefit (BASE)'!L56*'Cost-Benefit (Cost+30%)'!$B$3</f>
        <v>154698.9446046646</v>
      </c>
      <c r="M56" s="3">
        <f>'Cost-Benefit (BASE)'!M56*'Cost-Benefit (Cost+30%)'!$B$3</f>
        <v>158566.41821978119</v>
      </c>
      <c r="N56" s="3">
        <f>'Cost-Benefit (BASE)'!N56*'Cost-Benefit (Cost+30%)'!$B$3</f>
        <v>162530.57867527573</v>
      </c>
      <c r="O56" s="3">
        <f>'Cost-Benefit (BASE)'!O56*'Cost-Benefit (Cost+30%)'!$B$3</f>
        <v>166593.8431421576</v>
      </c>
      <c r="P56" s="3">
        <f>'Cost-Benefit (BASE)'!P56*'Cost-Benefit (Cost+30%)'!$B$3</f>
        <v>170758.68922071153</v>
      </c>
      <c r="Q56" s="3">
        <f>'Cost-Benefit (BASE)'!Q56*'Cost-Benefit (Cost+30%)'!$B$3</f>
        <v>175027.6564512293</v>
      </c>
      <c r="R56" s="3">
        <f>'Cost-Benefit (BASE)'!R56*'Cost-Benefit (Cost+30%)'!$B$3</f>
        <v>179403.34786251001</v>
      </c>
      <c r="S56" s="3">
        <f>'Cost-Benefit (BASE)'!S56*'Cost-Benefit (Cost+30%)'!$B$3</f>
        <v>183888.43155907275</v>
      </c>
      <c r="T56" s="3">
        <f>'Cost-Benefit (BASE)'!T56*'Cost-Benefit (Cost+30%)'!$B$3</f>
        <v>16675027.037971644</v>
      </c>
    </row>
    <row r="57" spans="1:20" x14ac:dyDescent="0.25">
      <c r="A57" s="1" t="s">
        <v>35</v>
      </c>
      <c r="E57" s="4">
        <f>E55-E56</f>
        <v>166519007.77117199</v>
      </c>
    </row>
    <row r="58" spans="1:20" s="12" customFormat="1" x14ac:dyDescent="0.25">
      <c r="A58" s="8" t="s">
        <v>16</v>
      </c>
      <c r="B58" s="13"/>
      <c r="C58" s="13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</row>
    <row r="59" spans="1:20" x14ac:dyDescent="0.25">
      <c r="A59" s="1" t="s">
        <v>1</v>
      </c>
      <c r="B59" s="1"/>
      <c r="C59" s="1"/>
      <c r="D59" s="1"/>
      <c r="E59" s="1"/>
      <c r="F59" s="1">
        <v>70.599999999999994</v>
      </c>
      <c r="G59" s="1">
        <v>99.9</v>
      </c>
      <c r="H59">
        <v>77.8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</row>
    <row r="60" spans="1:20" x14ac:dyDescent="0.25">
      <c r="A60" s="1" t="s">
        <v>0</v>
      </c>
      <c r="B60" s="1"/>
      <c r="C60" s="1"/>
      <c r="D60" s="3"/>
      <c r="E60" s="3">
        <f>NPV($B$2,G60:T60)+F60</f>
        <v>9201470.8699749056</v>
      </c>
      <c r="F60" s="3">
        <f>'Cost-Benefit (BASE)'!F60/'Cost-Benefit (BASE)'!$B$1*$B$1</f>
        <v>2784207.75</v>
      </c>
      <c r="G60" s="3">
        <f>'Cost-Benefit (BASE)'!G60/'Cost-Benefit (BASE)'!$B$1*$B$1</f>
        <v>3941364.7700000005</v>
      </c>
      <c r="H60" s="3">
        <f>'Cost-Benefit (BASE)'!H60/'Cost-Benefit (BASE)'!$B$1*$B$1</f>
        <v>3068432</v>
      </c>
      <c r="I60" s="3">
        <f>'Cost-Benefit (BASE)'!I60/'Cost-Benefit (BASE)'!$B$1*$B$1</f>
        <v>0</v>
      </c>
      <c r="J60" s="3">
        <f>'Cost-Benefit (BASE)'!J60/'Cost-Benefit (BASE)'!$B$1*$B$1</f>
        <v>0</v>
      </c>
      <c r="K60" s="3">
        <f>'Cost-Benefit (BASE)'!K60/'Cost-Benefit (BASE)'!$B$1*$B$1</f>
        <v>0</v>
      </c>
      <c r="L60" s="3">
        <f>'Cost-Benefit (BASE)'!L60/'Cost-Benefit (BASE)'!$B$1*$B$1</f>
        <v>0</v>
      </c>
      <c r="M60" s="3">
        <f>'Cost-Benefit (BASE)'!M60/'Cost-Benefit (BASE)'!$B$1*$B$1</f>
        <v>0</v>
      </c>
      <c r="N60" s="3">
        <f>'Cost-Benefit (BASE)'!N60/'Cost-Benefit (BASE)'!$B$1*$B$1</f>
        <v>0</v>
      </c>
      <c r="O60" s="3">
        <f>'Cost-Benefit (BASE)'!O60/'Cost-Benefit (BASE)'!$B$1*$B$1</f>
        <v>0</v>
      </c>
      <c r="P60" s="3">
        <f>'Cost-Benefit (BASE)'!P60/'Cost-Benefit (BASE)'!$B$1*$B$1</f>
        <v>0</v>
      </c>
      <c r="Q60" s="3">
        <f>'Cost-Benefit (BASE)'!Q60/'Cost-Benefit (BASE)'!$B$1*$B$1</f>
        <v>0</v>
      </c>
      <c r="R60" s="3">
        <f>'Cost-Benefit (BASE)'!R60/'Cost-Benefit (BASE)'!$B$1*$B$1</f>
        <v>0</v>
      </c>
      <c r="S60" s="3">
        <f>'Cost-Benefit (BASE)'!S60/'Cost-Benefit (BASE)'!$B$1*$B$1</f>
        <v>0</v>
      </c>
      <c r="T60" s="3">
        <f>'Cost-Benefit (BASE)'!T60/'Cost-Benefit (BASE)'!$B$1*$B$1</f>
        <v>0</v>
      </c>
    </row>
    <row r="61" spans="1:20" x14ac:dyDescent="0.25">
      <c r="A61" s="1" t="s">
        <v>33</v>
      </c>
      <c r="B61" s="1"/>
      <c r="C61" s="1"/>
      <c r="D61" s="3"/>
      <c r="E61" s="3">
        <f>NPV($B$2,G61:T61)+F61</f>
        <v>181839560.26870048</v>
      </c>
      <c r="F61" s="4">
        <f>F$6-F60</f>
        <v>0</v>
      </c>
      <c r="G61" s="4">
        <f t="shared" ref="G61:T61" si="9">G$6-G60</f>
        <v>0</v>
      </c>
      <c r="H61" s="4">
        <f t="shared" si="9"/>
        <v>2814012.3099999996</v>
      </c>
      <c r="I61" s="4">
        <f t="shared" si="9"/>
        <v>8491408.9800000004</v>
      </c>
      <c r="J61" s="4">
        <f t="shared" si="9"/>
        <v>13508407.34</v>
      </c>
      <c r="K61" s="4">
        <f t="shared" si="9"/>
        <v>16944559.32</v>
      </c>
      <c r="L61" s="4">
        <f t="shared" si="9"/>
        <v>17458854.210000001</v>
      </c>
      <c r="M61" s="4">
        <f t="shared" si="9"/>
        <v>22339013.989999998</v>
      </c>
      <c r="N61" s="4">
        <f t="shared" si="9"/>
        <v>28976674.899999999</v>
      </c>
      <c r="O61" s="4">
        <f t="shared" si="9"/>
        <v>35426939.979999997</v>
      </c>
      <c r="P61" s="4">
        <f t="shared" si="9"/>
        <v>35426939.979999997</v>
      </c>
      <c r="Q61" s="4">
        <f t="shared" si="9"/>
        <v>35426939.979999997</v>
      </c>
      <c r="R61" s="4">
        <f t="shared" si="9"/>
        <v>35426939.979999997</v>
      </c>
      <c r="S61" s="4">
        <f t="shared" si="9"/>
        <v>35426939.979999997</v>
      </c>
      <c r="T61" s="4">
        <f t="shared" si="9"/>
        <v>35426939.979999997</v>
      </c>
    </row>
    <row r="62" spans="1:20" x14ac:dyDescent="0.25">
      <c r="A62" s="1" t="s">
        <v>34</v>
      </c>
      <c r="B62" s="1"/>
      <c r="C62" s="1"/>
      <c r="D62" s="3"/>
      <c r="E62" s="3">
        <f>NPV($B$2,G62:T62)+F62</f>
        <v>24712234.490073878</v>
      </c>
      <c r="F62" s="3">
        <f>'Cost-Benefit (BASE)'!F62*'Cost-Benefit (Cost+30%)'!$B$3</f>
        <v>0</v>
      </c>
      <c r="G62" s="3">
        <f>'Cost-Benefit (BASE)'!G62*'Cost-Benefit (Cost+30%)'!$B$3</f>
        <v>0</v>
      </c>
      <c r="H62" s="3">
        <f>'Cost-Benefit (BASE)'!H62*'Cost-Benefit (Cost+30%)'!$B$3</f>
        <v>9902140.6249999981</v>
      </c>
      <c r="I62" s="3">
        <f>'Cost-Benefit (BASE)'!I62*'Cost-Benefit (Cost+30%)'!$B$3</f>
        <v>9576889.9219865594</v>
      </c>
      <c r="J62" s="3">
        <f>'Cost-Benefit (BASE)'!J62*'Cost-Benefit (Cost+30%)'!$B$3</f>
        <v>147244.68255054337</v>
      </c>
      <c r="K62" s="3">
        <f>'Cost-Benefit (BASE)'!K62*'Cost-Benefit (Cost+30%)'!$B$3</f>
        <v>150925.79961430695</v>
      </c>
      <c r="L62" s="3">
        <f>'Cost-Benefit (BASE)'!L62*'Cost-Benefit (Cost+30%)'!$B$3</f>
        <v>154698.9446046646</v>
      </c>
      <c r="M62" s="3">
        <f>'Cost-Benefit (BASE)'!M62*'Cost-Benefit (Cost+30%)'!$B$3</f>
        <v>158566.41821978119</v>
      </c>
      <c r="N62" s="3">
        <f>'Cost-Benefit (BASE)'!N62*'Cost-Benefit (Cost+30%)'!$B$3</f>
        <v>162530.57867527573</v>
      </c>
      <c r="O62" s="3">
        <f>'Cost-Benefit (BASE)'!O62*'Cost-Benefit (Cost+30%)'!$B$3</f>
        <v>166593.8431421576</v>
      </c>
      <c r="P62" s="3">
        <f>'Cost-Benefit (BASE)'!P62*'Cost-Benefit (Cost+30%)'!$B$3</f>
        <v>170758.68922071153</v>
      </c>
      <c r="Q62" s="3">
        <f>'Cost-Benefit (BASE)'!Q62*'Cost-Benefit (Cost+30%)'!$B$3</f>
        <v>175027.6564512293</v>
      </c>
      <c r="R62" s="3">
        <f>'Cost-Benefit (BASE)'!R62*'Cost-Benefit (Cost+30%)'!$B$3</f>
        <v>179403.34786251001</v>
      </c>
      <c r="S62" s="3">
        <f>'Cost-Benefit (BASE)'!S62*'Cost-Benefit (Cost+30%)'!$B$3</f>
        <v>183888.43155907275</v>
      </c>
      <c r="T62" s="3">
        <f>'Cost-Benefit (BASE)'!T62*'Cost-Benefit (Cost+30%)'!$B$3</f>
        <v>16675027.037971644</v>
      </c>
    </row>
    <row r="63" spans="1:20" x14ac:dyDescent="0.25">
      <c r="A63" s="1" t="s">
        <v>35</v>
      </c>
      <c r="E63" s="4">
        <f>E61-E62</f>
        <v>157127325.77862659</v>
      </c>
    </row>
    <row r="64" spans="1:20" s="12" customFormat="1" x14ac:dyDescent="0.25">
      <c r="A64" s="8" t="s">
        <v>17</v>
      </c>
      <c r="B64" s="13"/>
      <c r="C64" s="13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x14ac:dyDescent="0.25">
      <c r="A65" s="1" t="s">
        <v>1</v>
      </c>
      <c r="B65" s="1"/>
      <c r="C65" s="1"/>
      <c r="D65" s="1"/>
      <c r="E65" s="1"/>
      <c r="F65" s="1">
        <v>70.599999999999994</v>
      </c>
      <c r="G65" s="1">
        <v>99.9</v>
      </c>
      <c r="H65" s="1">
        <v>149</v>
      </c>
      <c r="I65" s="1">
        <v>215.1</v>
      </c>
      <c r="J65" s="1">
        <v>342.2</v>
      </c>
      <c r="K65" s="1">
        <v>429.2</v>
      </c>
      <c r="L65" s="1">
        <v>442.3</v>
      </c>
      <c r="M65" s="1">
        <v>565.9</v>
      </c>
      <c r="N65" s="1">
        <v>734.1</v>
      </c>
      <c r="O65" s="1">
        <v>897.6</v>
      </c>
      <c r="P65" s="1">
        <v>897.6</v>
      </c>
      <c r="Q65" s="1">
        <v>897.6</v>
      </c>
      <c r="R65" s="1">
        <v>897.6</v>
      </c>
      <c r="S65" s="1">
        <v>897.6</v>
      </c>
      <c r="T65" s="1">
        <v>897.6</v>
      </c>
    </row>
    <row r="66" spans="1:20" x14ac:dyDescent="0.25">
      <c r="A66" s="1" t="s">
        <v>0</v>
      </c>
      <c r="B66" s="1"/>
      <c r="C66" s="1"/>
      <c r="D66" s="3"/>
      <c r="E66" s="3">
        <f>NPV($B$2,G66:T66)+F66</f>
        <v>190889650.73949873</v>
      </c>
      <c r="F66" s="3">
        <f>'Cost-Benefit (BASE)'!F66/'Cost-Benefit (BASE)'!$B$1*$B$1</f>
        <v>2784207.75</v>
      </c>
      <c r="G66" s="3">
        <f>'Cost-Benefit (BASE)'!G66/'Cost-Benefit (BASE)'!$B$1*$B$1</f>
        <v>3941364.7700000005</v>
      </c>
      <c r="H66" s="3">
        <f>'Cost-Benefit (BASE)'!H66/'Cost-Benefit (BASE)'!$B$1*$B$1</f>
        <v>5875532.4900000002</v>
      </c>
      <c r="I66" s="3">
        <f>'Cost-Benefit (BASE)'!I66/'Cost-Benefit (BASE)'!$B$1*$B$1</f>
        <v>8482238.3100000005</v>
      </c>
      <c r="J66" s="3">
        <f>'Cost-Benefit (BASE)'!J66/'Cost-Benefit (BASE)'!$B$1*$B$1</f>
        <v>13495176.119999999</v>
      </c>
      <c r="K66" s="3">
        <f>'Cost-Benefit (BASE)'!K66/'Cost-Benefit (BASE)'!$B$1*$B$1</f>
        <v>16928845.789999999</v>
      </c>
      <c r="L66" s="3">
        <f>'Cost-Benefit (BASE)'!L66/'Cost-Benefit (BASE)'!$B$1*$B$1</f>
        <v>17443241.34</v>
      </c>
      <c r="M66" s="3">
        <f>'Cost-Benefit (BASE)'!M66/'Cost-Benefit (BASE)'!$B$1*$B$1</f>
        <v>22320679.379999999</v>
      </c>
      <c r="N66" s="3">
        <f>'Cost-Benefit (BASE)'!N66/'Cost-Benefit (BASE)'!$B$1*$B$1</f>
        <v>28953478.32</v>
      </c>
      <c r="O66" s="3">
        <f>'Cost-Benefit (BASE)'!O66/'Cost-Benefit (BASE)'!$B$1*$B$1</f>
        <v>35400321.600000001</v>
      </c>
      <c r="P66" s="3">
        <f>'Cost-Benefit (BASE)'!P66/'Cost-Benefit (BASE)'!$B$1*$B$1</f>
        <v>35400321.600000001</v>
      </c>
      <c r="Q66" s="3">
        <f>'Cost-Benefit (BASE)'!Q66/'Cost-Benefit (BASE)'!$B$1*$B$1</f>
        <v>35400321.600000001</v>
      </c>
      <c r="R66" s="3">
        <f>'Cost-Benefit (BASE)'!R66/'Cost-Benefit (BASE)'!$B$1*$B$1</f>
        <v>35400321.600000001</v>
      </c>
      <c r="S66" s="3">
        <f>'Cost-Benefit (BASE)'!S66/'Cost-Benefit (BASE)'!$B$1*$B$1</f>
        <v>35400321.600000001</v>
      </c>
      <c r="T66" s="3">
        <f>'Cost-Benefit (BASE)'!T66/'Cost-Benefit (BASE)'!$B$1*$B$1</f>
        <v>35400321.600000001</v>
      </c>
    </row>
    <row r="67" spans="1:20" x14ac:dyDescent="0.25">
      <c r="A67" s="1" t="s">
        <v>33</v>
      </c>
      <c r="B67" s="1"/>
      <c r="C67" s="1"/>
      <c r="D67" s="3"/>
      <c r="E67" s="3">
        <f>NPV($B$2,G67:T67)+F67</f>
        <v>151380.39917664335</v>
      </c>
      <c r="F67" s="4">
        <f>F$6-F66</f>
        <v>0</v>
      </c>
      <c r="G67" s="4">
        <f t="shared" ref="G67:T67" si="10">G$6-G66</f>
        <v>0</v>
      </c>
      <c r="H67" s="4">
        <f t="shared" si="10"/>
        <v>6911.8199999993667</v>
      </c>
      <c r="I67" s="4">
        <f t="shared" si="10"/>
        <v>9170.6699999999255</v>
      </c>
      <c r="J67" s="4">
        <f t="shared" si="10"/>
        <v>13231.220000000671</v>
      </c>
      <c r="K67" s="4">
        <f t="shared" si="10"/>
        <v>15713.530000001192</v>
      </c>
      <c r="L67" s="4">
        <f t="shared" si="10"/>
        <v>15612.870000001043</v>
      </c>
      <c r="M67" s="4">
        <f t="shared" si="10"/>
        <v>18334.609999999404</v>
      </c>
      <c r="N67" s="4">
        <f t="shared" si="10"/>
        <v>23196.579999998212</v>
      </c>
      <c r="O67" s="4">
        <f t="shared" si="10"/>
        <v>26618.379999995232</v>
      </c>
      <c r="P67" s="4">
        <f t="shared" si="10"/>
        <v>26618.379999995232</v>
      </c>
      <c r="Q67" s="4">
        <f t="shared" si="10"/>
        <v>26618.379999995232</v>
      </c>
      <c r="R67" s="4">
        <f t="shared" si="10"/>
        <v>26618.379999995232</v>
      </c>
      <c r="S67" s="4">
        <f t="shared" si="10"/>
        <v>26618.379999995232</v>
      </c>
      <c r="T67" s="4">
        <f t="shared" si="10"/>
        <v>26618.379999995232</v>
      </c>
    </row>
    <row r="68" spans="1:20" x14ac:dyDescent="0.25">
      <c r="A68" s="1" t="s">
        <v>34</v>
      </c>
      <c r="B68" s="1"/>
      <c r="C68" s="1"/>
      <c r="D68" s="3"/>
      <c r="E68" s="3">
        <f>NPV($B$2,G68:T68)+F68</f>
        <v>16644152.037205467</v>
      </c>
      <c r="F68" s="3">
        <f>'Cost-Benefit (BASE)'!F68*'Cost-Benefit (Cost+30%)'!$B$3</f>
        <v>0</v>
      </c>
      <c r="G68" s="3">
        <f>'Cost-Benefit (BASE)'!G68*'Cost-Benefit (Cost+30%)'!$B$3</f>
        <v>0</v>
      </c>
      <c r="H68" s="3">
        <f>'Cost-Benefit (BASE)'!H68*'Cost-Benefit (Cost+30%)'!$B$3</f>
        <v>1670979.8452953121</v>
      </c>
      <c r="I68" s="3">
        <f>'Cost-Benefit (BASE)'!I68*'Cost-Benefit (Cost+30%)'!$B$3</f>
        <v>25691.315121415424</v>
      </c>
      <c r="J68" s="3">
        <f>'Cost-Benefit (BASE)'!J68*'Cost-Benefit (Cost+30%)'!$B$3</f>
        <v>26333.597999450809</v>
      </c>
      <c r="K68" s="3">
        <f>'Cost-Benefit (BASE)'!K68*'Cost-Benefit (Cost+30%)'!$B$3</f>
        <v>9832243.2426239382</v>
      </c>
      <c r="L68" s="3">
        <f>'Cost-Benefit (BASE)'!L68*'Cost-Benefit (Cost+30%)'!$B$3</f>
        <v>178422.47520754344</v>
      </c>
      <c r="M68" s="3">
        <f>'Cost-Benefit (BASE)'!M68*'Cost-Benefit (Cost+30%)'!$B$3</f>
        <v>182883.03708773199</v>
      </c>
      <c r="N68" s="3">
        <f>'Cost-Benefit (BASE)'!N68*'Cost-Benefit (Cost+30%)'!$B$3</f>
        <v>187455.1130149253</v>
      </c>
      <c r="O68" s="3">
        <f>'Cost-Benefit (BASE)'!O68*'Cost-Benefit (Cost+30%)'!$B$3</f>
        <v>192141.49084029839</v>
      </c>
      <c r="P68" s="3">
        <f>'Cost-Benefit (BASE)'!P68*'Cost-Benefit (Cost+30%)'!$B$3</f>
        <v>196945.02811130584</v>
      </c>
      <c r="Q68" s="3">
        <f>'Cost-Benefit (BASE)'!Q68*'Cost-Benefit (Cost+30%)'!$B$3</f>
        <v>201868.65381408847</v>
      </c>
      <c r="R68" s="3">
        <f>'Cost-Benefit (BASE)'!R68*'Cost-Benefit (Cost+30%)'!$B$3</f>
        <v>206915.37015944067</v>
      </c>
      <c r="S68" s="3">
        <f>'Cost-Benefit (BASE)'!S68*'Cost-Benefit (Cost+30%)'!$B$3</f>
        <v>212088.25441342668</v>
      </c>
      <c r="T68" s="3">
        <f>'Cost-Benefit (BASE)'!T68*'Cost-Benefit (Cost+30%)'!$B$3</f>
        <v>16703931.856397357</v>
      </c>
    </row>
    <row r="69" spans="1:20" x14ac:dyDescent="0.25">
      <c r="A69" s="1" t="s">
        <v>35</v>
      </c>
      <c r="E69" s="4">
        <f>E67-E68</f>
        <v>-16492771.638028823</v>
      </c>
    </row>
    <row r="70" spans="1:20" s="12" customFormat="1" x14ac:dyDescent="0.25">
      <c r="A70" s="8" t="s">
        <v>18</v>
      </c>
      <c r="B70" s="13"/>
      <c r="C70" s="13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</row>
    <row r="71" spans="1:20" x14ac:dyDescent="0.25">
      <c r="A71" s="1" t="s">
        <v>1</v>
      </c>
      <c r="B71" s="1"/>
      <c r="C71" s="1"/>
      <c r="D71" s="1"/>
      <c r="E71" s="1"/>
      <c r="F71" s="1">
        <v>70.599999999999994</v>
      </c>
      <c r="G71" s="1">
        <v>99.9</v>
      </c>
      <c r="H71" s="1">
        <v>149</v>
      </c>
      <c r="I71" s="1">
        <v>215.1</v>
      </c>
      <c r="J71" s="1">
        <v>342.2</v>
      </c>
      <c r="K71" s="1">
        <v>429.2</v>
      </c>
      <c r="L71" s="1">
        <v>442.3</v>
      </c>
      <c r="M71" s="1">
        <v>565.9</v>
      </c>
      <c r="N71" s="1">
        <v>734.1</v>
      </c>
      <c r="O71" s="1">
        <v>897.6</v>
      </c>
      <c r="P71" s="1">
        <v>897.6</v>
      </c>
      <c r="Q71" s="1">
        <v>897.6</v>
      </c>
      <c r="R71" s="1">
        <v>897.6</v>
      </c>
      <c r="S71" s="1">
        <v>897.6</v>
      </c>
      <c r="T71" s="1">
        <v>897.6</v>
      </c>
    </row>
    <row r="72" spans="1:20" x14ac:dyDescent="0.25">
      <c r="A72" s="1" t="s">
        <v>0</v>
      </c>
      <c r="B72" s="1"/>
      <c r="C72" s="1"/>
      <c r="D72" s="3"/>
      <c r="E72" s="3">
        <f>NPV($B$2,G72:T72)+F72</f>
        <v>190889650.73949873</v>
      </c>
      <c r="F72" s="3">
        <f>'Cost-Benefit (BASE)'!F72/'Cost-Benefit (BASE)'!$B$1*$B$1</f>
        <v>2784207.75</v>
      </c>
      <c r="G72" s="3">
        <f>'Cost-Benefit (BASE)'!G72/'Cost-Benefit (BASE)'!$B$1*$B$1</f>
        <v>3941364.7700000005</v>
      </c>
      <c r="H72" s="3">
        <f>'Cost-Benefit (BASE)'!H72/'Cost-Benefit (BASE)'!$B$1*$B$1</f>
        <v>5875532.4900000002</v>
      </c>
      <c r="I72" s="3">
        <f>'Cost-Benefit (BASE)'!I72/'Cost-Benefit (BASE)'!$B$1*$B$1</f>
        <v>8482238.3100000005</v>
      </c>
      <c r="J72" s="3">
        <f>'Cost-Benefit (BASE)'!J72/'Cost-Benefit (BASE)'!$B$1*$B$1</f>
        <v>13495176.119999999</v>
      </c>
      <c r="K72" s="3">
        <f>'Cost-Benefit (BASE)'!K72/'Cost-Benefit (BASE)'!$B$1*$B$1</f>
        <v>16928845.789999999</v>
      </c>
      <c r="L72" s="3">
        <f>'Cost-Benefit (BASE)'!L72/'Cost-Benefit (BASE)'!$B$1*$B$1</f>
        <v>17443241.34</v>
      </c>
      <c r="M72" s="3">
        <f>'Cost-Benefit (BASE)'!M72/'Cost-Benefit (BASE)'!$B$1*$B$1</f>
        <v>22320679.379999999</v>
      </c>
      <c r="N72" s="3">
        <f>'Cost-Benefit (BASE)'!N72/'Cost-Benefit (BASE)'!$B$1*$B$1</f>
        <v>28953478.32</v>
      </c>
      <c r="O72" s="3">
        <f>'Cost-Benefit (BASE)'!O72/'Cost-Benefit (BASE)'!$B$1*$B$1</f>
        <v>35400321.600000001</v>
      </c>
      <c r="P72" s="3">
        <f>'Cost-Benefit (BASE)'!P72/'Cost-Benefit (BASE)'!$B$1*$B$1</f>
        <v>35400321.600000001</v>
      </c>
      <c r="Q72" s="3">
        <f>'Cost-Benefit (BASE)'!Q72/'Cost-Benefit (BASE)'!$B$1*$B$1</f>
        <v>35400321.600000001</v>
      </c>
      <c r="R72" s="3">
        <f>'Cost-Benefit (BASE)'!R72/'Cost-Benefit (BASE)'!$B$1*$B$1</f>
        <v>35400321.600000001</v>
      </c>
      <c r="S72" s="3">
        <f>'Cost-Benefit (BASE)'!S72/'Cost-Benefit (BASE)'!$B$1*$B$1</f>
        <v>35400321.600000001</v>
      </c>
      <c r="T72" s="3">
        <f>'Cost-Benefit (BASE)'!T72/'Cost-Benefit (BASE)'!$B$1*$B$1</f>
        <v>35400321.600000001</v>
      </c>
    </row>
    <row r="73" spans="1:20" x14ac:dyDescent="0.25">
      <c r="A73" s="1" t="s">
        <v>33</v>
      </c>
      <c r="D73" s="3"/>
      <c r="E73" s="3">
        <f>NPV($B$2,G73:T73)+F73</f>
        <v>151380.39917664335</v>
      </c>
      <c r="F73" s="4">
        <f>F$6-F72</f>
        <v>0</v>
      </c>
      <c r="G73" s="4">
        <f t="shared" ref="G73:T73" si="11">G$6-G72</f>
        <v>0</v>
      </c>
      <c r="H73" s="4">
        <f t="shared" si="11"/>
        <v>6911.8199999993667</v>
      </c>
      <c r="I73" s="4">
        <f t="shared" si="11"/>
        <v>9170.6699999999255</v>
      </c>
      <c r="J73" s="4">
        <f t="shared" si="11"/>
        <v>13231.220000000671</v>
      </c>
      <c r="K73" s="4">
        <f t="shared" si="11"/>
        <v>15713.530000001192</v>
      </c>
      <c r="L73" s="4">
        <f t="shared" si="11"/>
        <v>15612.870000001043</v>
      </c>
      <c r="M73" s="4">
        <f t="shared" si="11"/>
        <v>18334.609999999404</v>
      </c>
      <c r="N73" s="4">
        <f t="shared" si="11"/>
        <v>23196.579999998212</v>
      </c>
      <c r="O73" s="4">
        <f t="shared" si="11"/>
        <v>26618.379999995232</v>
      </c>
      <c r="P73" s="4">
        <f t="shared" si="11"/>
        <v>26618.379999995232</v>
      </c>
      <c r="Q73" s="4">
        <f t="shared" si="11"/>
        <v>26618.379999995232</v>
      </c>
      <c r="R73" s="4">
        <f t="shared" si="11"/>
        <v>26618.379999995232</v>
      </c>
      <c r="S73" s="4">
        <f t="shared" si="11"/>
        <v>26618.379999995232</v>
      </c>
      <c r="T73" s="4">
        <f t="shared" si="11"/>
        <v>26618.379999995232</v>
      </c>
    </row>
    <row r="74" spans="1:20" x14ac:dyDescent="0.25">
      <c r="A74" s="1" t="s">
        <v>34</v>
      </c>
      <c r="D74" s="3"/>
      <c r="E74" s="3">
        <f>NPV($B$2,G74:T74)+F74</f>
        <v>17105559.532383732</v>
      </c>
      <c r="F74" s="3">
        <f>'Cost-Benefit (BASE)'!F74*'Cost-Benefit (Cost+30%)'!$B$3</f>
        <v>0</v>
      </c>
      <c r="G74" s="3">
        <f>'Cost-Benefit (BASE)'!G74*'Cost-Benefit (Cost+30%)'!$B$3</f>
        <v>0</v>
      </c>
      <c r="H74" s="3">
        <f>'Cost-Benefit (BASE)'!H74*'Cost-Benefit (Cost+30%)'!$B$3</f>
        <v>2127877.0767718744</v>
      </c>
      <c r="I74" s="3">
        <f>'Cost-Benefit (BASE)'!I74*'Cost-Benefit (Cost+30%)'!$B$3</f>
        <v>32716.110055367568</v>
      </c>
      <c r="J74" s="3">
        <f>'Cost-Benefit (BASE)'!J74*'Cost-Benefit (Cost+30%)'!$B$3</f>
        <v>33534.012806751758</v>
      </c>
      <c r="K74" s="3">
        <f>'Cost-Benefit (BASE)'!K74*'Cost-Benefit (Cost+30%)'!$B$3</f>
        <v>9839623.667801423</v>
      </c>
      <c r="L74" s="3">
        <f>'Cost-Benefit (BASE)'!L74*'Cost-Benefit (Cost+30%)'!$B$3</f>
        <v>185987.41101446401</v>
      </c>
      <c r="M74" s="3">
        <f>'Cost-Benefit (BASE)'!M74*'Cost-Benefit (Cost+30%)'!$B$3</f>
        <v>190637.09628982557</v>
      </c>
      <c r="N74" s="3">
        <f>'Cost-Benefit (BASE)'!N74*'Cost-Benefit (Cost+30%)'!$B$3</f>
        <v>195403.02369707121</v>
      </c>
      <c r="O74" s="3">
        <f>'Cost-Benefit (BASE)'!O74*'Cost-Benefit (Cost+30%)'!$B$3</f>
        <v>200288.09928949797</v>
      </c>
      <c r="P74" s="3">
        <f>'Cost-Benefit (BASE)'!P74*'Cost-Benefit (Cost+30%)'!$B$3</f>
        <v>205295.30177173539</v>
      </c>
      <c r="Q74" s="3">
        <f>'Cost-Benefit (BASE)'!Q74*'Cost-Benefit (Cost+30%)'!$B$3</f>
        <v>210427.68431602875</v>
      </c>
      <c r="R74" s="3">
        <f>'Cost-Benefit (BASE)'!R74*'Cost-Benefit (Cost+30%)'!$B$3</f>
        <v>215688.37642392947</v>
      </c>
      <c r="S74" s="3">
        <f>'Cost-Benefit (BASE)'!S74*'Cost-Benefit (Cost+30%)'!$B$3</f>
        <v>221080.58583452768</v>
      </c>
      <c r="T74" s="3">
        <f>'Cost-Benefit (BASE)'!T74*'Cost-Benefit (Cost+30%)'!$B$3</f>
        <v>16713148.996103987</v>
      </c>
    </row>
    <row r="75" spans="1:20" x14ac:dyDescent="0.25">
      <c r="A75" s="1" t="s">
        <v>35</v>
      </c>
      <c r="E75" s="4">
        <f>E73-E74</f>
        <v>-16954179.13320709</v>
      </c>
    </row>
    <row r="76" spans="1:20" s="12" customFormat="1" x14ac:dyDescent="0.25">
      <c r="A76" s="8"/>
      <c r="B76" s="13"/>
      <c r="C76" s="13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</row>
    <row r="77" spans="1:2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x14ac:dyDescent="0.25">
      <c r="A78" s="1"/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25">
      <c r="A79" s="1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</row>
    <row r="80" spans="1:20" x14ac:dyDescent="0.25">
      <c r="A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5" x14ac:dyDescent="0.25">
      <c r="A81" s="1"/>
      <c r="E81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Report summary Table</vt:lpstr>
      <vt:lpstr>Sensitivity Analysis Summary</vt:lpstr>
      <vt:lpstr>Opt 1b - cost-benefit timing</vt:lpstr>
      <vt:lpstr>Option Costs</vt:lpstr>
      <vt:lpstr>Cost-Benefit (BASE)</vt:lpstr>
      <vt:lpstr>Cost-Benefit (VCR+20%)</vt:lpstr>
      <vt:lpstr>Cost-Benefit (VCR-20%)</vt:lpstr>
      <vt:lpstr>Cost-Benefit (Disc rate high)</vt:lpstr>
      <vt:lpstr>Cost-Benefit (Cost+30%)</vt:lpstr>
      <vt:lpstr>Cost-Benefit (Cost-30%)</vt:lpstr>
    </vt:vector>
  </TitlesOfParts>
  <Company>Jemena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Pollock</dc:creator>
  <cp:lastModifiedBy>Jason Pollock</cp:lastModifiedBy>
  <dcterms:created xsi:type="dcterms:W3CDTF">2016-08-19T00:20:31Z</dcterms:created>
  <dcterms:modified xsi:type="dcterms:W3CDTF">2016-12-15T08:15:29Z</dcterms:modified>
</cp:coreProperties>
</file>