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twork planning\KTS Split Loop project\Cost benefit assessement for options\"/>
    </mc:Choice>
  </mc:AlternateContent>
  <bookViews>
    <workbookView xWindow="0" yWindow="0" windowWidth="28800" windowHeight="12216" tabRatio="942" activeTab="1"/>
  </bookViews>
  <sheets>
    <sheet name="Report summary Table" sheetId="14" r:id="rId1"/>
    <sheet name="Sensitivity Analysis Summary" sheetId="13" r:id="rId2"/>
    <sheet name="Opt 3 - Economic timing" sheetId="6" r:id="rId3"/>
    <sheet name="Option Costs" sheetId="4" r:id="rId4"/>
    <sheet name="Cost-Benefit (BASE)" sheetId="7" r:id="rId5"/>
    <sheet name="Cost-Benefit (VCR+20%)" sheetId="8" r:id="rId6"/>
    <sheet name="Cost-Benefit (VCR-20%)" sheetId="15" r:id="rId7"/>
    <sheet name="Cost-Benefit (Disc rate high)" sheetId="16" r:id="rId8"/>
    <sheet name="Cost-Benefit (cost+30%)" sheetId="17" r:id="rId9"/>
    <sheet name="Cost-Benefit (cost-30%)" sheetId="18" r:id="rId10"/>
  </sheets>
  <definedNames>
    <definedName name="_Ref415574418" localSheetId="0">'Report summary Table'!#REF!</definedName>
    <definedName name="Fifty_POE_WEIGHTING">'Cost-Benefit (BASE)'!$F$13</definedName>
    <definedName name="Ten_POE_WEIGHTING">'Cost-Benefit (BASE)'!$F$14</definedName>
    <definedName name="VCR">'Cost-Benefit (BASE)'!$H$8</definedName>
  </definedNames>
  <calcPr calcId="171027"/>
</workbook>
</file>

<file path=xl/calcChain.xml><?xml version="1.0" encoding="utf-8"?>
<calcChain xmlns="http://schemas.openxmlformats.org/spreadsheetml/2006/main">
  <c r="N17" i="7" l="1"/>
  <c r="O17" i="7" s="1"/>
  <c r="P17" i="7" s="1"/>
  <c r="Q17" i="7" s="1"/>
  <c r="R17" i="7" s="1"/>
  <c r="M17" i="7"/>
  <c r="M11" i="7" l="1"/>
  <c r="N11" i="7" s="1"/>
  <c r="O11" i="7" s="1"/>
  <c r="P11" i="7" s="1"/>
  <c r="Q11" i="7" s="1"/>
  <c r="R11" i="7" s="1"/>
  <c r="Q30" i="4" l="1"/>
  <c r="Q31" i="4"/>
  <c r="B1" i="6" l="1"/>
  <c r="B5" i="14"/>
  <c r="B6" i="14"/>
  <c r="B7" i="14"/>
  <c r="B4" i="14"/>
  <c r="D32" i="18" l="1"/>
  <c r="R29" i="18"/>
  <c r="R30" i="18" s="1"/>
  <c r="Q29" i="18"/>
  <c r="P29" i="18"/>
  <c r="P30" i="18" s="1"/>
  <c r="O29" i="18"/>
  <c r="N29" i="18"/>
  <c r="N30" i="18" s="1"/>
  <c r="M29" i="18"/>
  <c r="L29" i="18"/>
  <c r="L30" i="18" s="1"/>
  <c r="K29" i="18"/>
  <c r="J29" i="18"/>
  <c r="J30" i="18" s="1"/>
  <c r="I29" i="18"/>
  <c r="H29" i="18"/>
  <c r="H30" i="18" s="1"/>
  <c r="G29" i="18"/>
  <c r="F29" i="18"/>
  <c r="F30" i="18" s="1"/>
  <c r="D26" i="18"/>
  <c r="R23" i="18"/>
  <c r="R24" i="18" s="1"/>
  <c r="Q23" i="18"/>
  <c r="P23" i="18"/>
  <c r="P24" i="18" s="1"/>
  <c r="O23" i="18"/>
  <c r="N23" i="18"/>
  <c r="N24" i="18" s="1"/>
  <c r="M23" i="18"/>
  <c r="L23" i="18"/>
  <c r="L24" i="18" s="1"/>
  <c r="K23" i="18"/>
  <c r="J23" i="18"/>
  <c r="J24" i="18" s="1"/>
  <c r="I23" i="18"/>
  <c r="H23" i="18"/>
  <c r="H24" i="18" s="1"/>
  <c r="G23" i="18"/>
  <c r="F23" i="18"/>
  <c r="F24" i="18" s="1"/>
  <c r="D20" i="18"/>
  <c r="R17" i="18"/>
  <c r="R18" i="18" s="1"/>
  <c r="Q17" i="18"/>
  <c r="P17" i="18"/>
  <c r="P18" i="18" s="1"/>
  <c r="O17" i="18"/>
  <c r="N17" i="18"/>
  <c r="N18" i="18" s="1"/>
  <c r="M17" i="18"/>
  <c r="L17" i="18"/>
  <c r="L18" i="18" s="1"/>
  <c r="K17" i="18"/>
  <c r="J17" i="18"/>
  <c r="J18" i="18" s="1"/>
  <c r="I17" i="18"/>
  <c r="H17" i="18"/>
  <c r="H18" i="18" s="1"/>
  <c r="G17" i="18"/>
  <c r="F17" i="18"/>
  <c r="F18" i="18" s="1"/>
  <c r="D14" i="18"/>
  <c r="R11" i="18"/>
  <c r="R12" i="18" s="1"/>
  <c r="Q11" i="18"/>
  <c r="P11" i="18"/>
  <c r="P12" i="18" s="1"/>
  <c r="O11" i="18"/>
  <c r="N11" i="18"/>
  <c r="N12" i="18" s="1"/>
  <c r="M11" i="18"/>
  <c r="L5" i="18"/>
  <c r="L6" i="18" s="1"/>
  <c r="L7" i="18" s="1"/>
  <c r="K5" i="18"/>
  <c r="K6" i="18" s="1"/>
  <c r="K7" i="18" s="1"/>
  <c r="J5" i="18"/>
  <c r="I5" i="18"/>
  <c r="I6" i="18" s="1"/>
  <c r="I7" i="18" s="1"/>
  <c r="H5" i="18"/>
  <c r="H6" i="18" s="1"/>
  <c r="H7" i="18" s="1"/>
  <c r="G5" i="18"/>
  <c r="G6" i="18" s="1"/>
  <c r="G7" i="18" s="1"/>
  <c r="F5" i="18"/>
  <c r="F6" i="18" s="1"/>
  <c r="F7" i="18" s="1"/>
  <c r="E5" i="18"/>
  <c r="E6" i="18" s="1"/>
  <c r="E7" i="18" s="1"/>
  <c r="D5" i="18"/>
  <c r="D6" i="18" s="1"/>
  <c r="D7" i="18" s="1"/>
  <c r="B2" i="18"/>
  <c r="B1" i="18"/>
  <c r="J6" i="18" s="1"/>
  <c r="J7" i="18" s="1"/>
  <c r="D32" i="17"/>
  <c r="D26" i="17"/>
  <c r="D20" i="17"/>
  <c r="D14" i="17"/>
  <c r="D14" i="16"/>
  <c r="D14" i="15"/>
  <c r="D14" i="8"/>
  <c r="B2" i="17"/>
  <c r="C8" i="17" s="1"/>
  <c r="R29" i="17"/>
  <c r="Q29" i="17"/>
  <c r="Q30" i="17" s="1"/>
  <c r="P29" i="17"/>
  <c r="O29" i="17"/>
  <c r="N29" i="17"/>
  <c r="M29" i="17"/>
  <c r="M30" i="17" s="1"/>
  <c r="L29" i="17"/>
  <c r="K29" i="17"/>
  <c r="J29" i="17"/>
  <c r="I29" i="17"/>
  <c r="I30" i="17" s="1"/>
  <c r="H29" i="17"/>
  <c r="G29" i="17"/>
  <c r="F29" i="17"/>
  <c r="R23" i="17"/>
  <c r="Q23" i="17"/>
  <c r="P23" i="17"/>
  <c r="O23" i="17"/>
  <c r="O24" i="17" s="1"/>
  <c r="N23" i="17"/>
  <c r="M23" i="17"/>
  <c r="L23" i="17"/>
  <c r="K23" i="17"/>
  <c r="K24" i="17" s="1"/>
  <c r="J23" i="17"/>
  <c r="I23" i="17"/>
  <c r="H23" i="17"/>
  <c r="G23" i="17"/>
  <c r="G24" i="17" s="1"/>
  <c r="F23" i="17"/>
  <c r="R17" i="17"/>
  <c r="Q17" i="17"/>
  <c r="P17" i="17"/>
  <c r="O17" i="17"/>
  <c r="O18" i="17" s="1"/>
  <c r="N17" i="17"/>
  <c r="M17" i="17"/>
  <c r="L17" i="17"/>
  <c r="K17" i="17"/>
  <c r="K18" i="17" s="1"/>
  <c r="J17" i="17"/>
  <c r="I17" i="17"/>
  <c r="H17" i="17"/>
  <c r="G17" i="17"/>
  <c r="G18" i="17" s="1"/>
  <c r="F17" i="17"/>
  <c r="R11" i="17"/>
  <c r="Q11" i="17"/>
  <c r="Q12" i="17" s="1"/>
  <c r="P11" i="17"/>
  <c r="O11" i="17"/>
  <c r="N11" i="17"/>
  <c r="M11" i="17"/>
  <c r="M12" i="17" s="1"/>
  <c r="L5" i="17"/>
  <c r="L6" i="17" s="1"/>
  <c r="L7" i="17" s="1"/>
  <c r="K5" i="17"/>
  <c r="J5" i="17"/>
  <c r="J6" i="17" s="1"/>
  <c r="J7" i="17" s="1"/>
  <c r="I5" i="17"/>
  <c r="H5" i="17"/>
  <c r="H6" i="17" s="1"/>
  <c r="H7" i="17" s="1"/>
  <c r="G5" i="17"/>
  <c r="F5" i="17"/>
  <c r="F6" i="17" s="1"/>
  <c r="F7" i="17" s="1"/>
  <c r="E5" i="17"/>
  <c r="E6" i="17" s="1"/>
  <c r="E7" i="17" s="1"/>
  <c r="D5" i="17"/>
  <c r="D6" i="17" s="1"/>
  <c r="D7" i="17" s="1"/>
  <c r="B1" i="17"/>
  <c r="B1" i="16"/>
  <c r="D32" i="16"/>
  <c r="R29" i="16"/>
  <c r="R30" i="16" s="1"/>
  <c r="Q29" i="16"/>
  <c r="Q30" i="16" s="1"/>
  <c r="P29" i="16"/>
  <c r="P30" i="16" s="1"/>
  <c r="O29" i="16"/>
  <c r="N29" i="16"/>
  <c r="N30" i="16" s="1"/>
  <c r="M29" i="16"/>
  <c r="M30" i="16" s="1"/>
  <c r="L29" i="16"/>
  <c r="L30" i="16" s="1"/>
  <c r="K29" i="16"/>
  <c r="J29" i="16"/>
  <c r="J30" i="16" s="1"/>
  <c r="I29" i="16"/>
  <c r="I30" i="16" s="1"/>
  <c r="H29" i="16"/>
  <c r="H30" i="16" s="1"/>
  <c r="G29" i="16"/>
  <c r="F29" i="16"/>
  <c r="F30" i="16" s="1"/>
  <c r="D26" i="16"/>
  <c r="R23" i="16"/>
  <c r="R24" i="16" s="1"/>
  <c r="Q23" i="16"/>
  <c r="P23" i="16"/>
  <c r="P24" i="16" s="1"/>
  <c r="O23" i="16"/>
  <c r="O24" i="16" s="1"/>
  <c r="N23" i="16"/>
  <c r="N24" i="16" s="1"/>
  <c r="M23" i="16"/>
  <c r="L23" i="16"/>
  <c r="L24" i="16" s="1"/>
  <c r="K23" i="16"/>
  <c r="K24" i="16" s="1"/>
  <c r="J23" i="16"/>
  <c r="J24" i="16" s="1"/>
  <c r="I23" i="16"/>
  <c r="H23" i="16"/>
  <c r="H24" i="16" s="1"/>
  <c r="G23" i="16"/>
  <c r="G24" i="16" s="1"/>
  <c r="F23" i="16"/>
  <c r="F24" i="16" s="1"/>
  <c r="D20" i="16"/>
  <c r="R17" i="16"/>
  <c r="R18" i="16" s="1"/>
  <c r="Q17" i="16"/>
  <c r="Q18" i="16" s="1"/>
  <c r="P17" i="16"/>
  <c r="P18" i="16" s="1"/>
  <c r="O17" i="16"/>
  <c r="O18" i="16" s="1"/>
  <c r="N17" i="16"/>
  <c r="N18" i="16" s="1"/>
  <c r="M17" i="16"/>
  <c r="M18" i="16" s="1"/>
  <c r="L17" i="16"/>
  <c r="L18" i="16" s="1"/>
  <c r="K17" i="16"/>
  <c r="K18" i="16" s="1"/>
  <c r="J17" i="16"/>
  <c r="J18" i="16" s="1"/>
  <c r="I17" i="16"/>
  <c r="I18" i="16" s="1"/>
  <c r="H17" i="16"/>
  <c r="H18" i="16" s="1"/>
  <c r="G17" i="16"/>
  <c r="G18" i="16" s="1"/>
  <c r="F17" i="16"/>
  <c r="F18" i="16" s="1"/>
  <c r="R11" i="16"/>
  <c r="R12" i="16" s="1"/>
  <c r="Q11" i="16"/>
  <c r="Q12" i="16" s="1"/>
  <c r="P11" i="16"/>
  <c r="P12" i="16" s="1"/>
  <c r="O11" i="16"/>
  <c r="O12" i="16" s="1"/>
  <c r="N11" i="16"/>
  <c r="N12" i="16" s="1"/>
  <c r="M11" i="16"/>
  <c r="M12" i="16" s="1"/>
  <c r="C8" i="16"/>
  <c r="L5" i="16"/>
  <c r="L6" i="16" s="1"/>
  <c r="L7" i="16" s="1"/>
  <c r="K5" i="16"/>
  <c r="K6" i="16" s="1"/>
  <c r="K7" i="16" s="1"/>
  <c r="J5" i="16"/>
  <c r="J6" i="16" s="1"/>
  <c r="J7" i="16" s="1"/>
  <c r="I5" i="16"/>
  <c r="I6" i="16" s="1"/>
  <c r="I7" i="16" s="1"/>
  <c r="H5" i="16"/>
  <c r="H6" i="16" s="1"/>
  <c r="H7" i="16" s="1"/>
  <c r="G5" i="16"/>
  <c r="G6" i="16" s="1"/>
  <c r="G7" i="16" s="1"/>
  <c r="F5" i="16"/>
  <c r="F6" i="16" s="1"/>
  <c r="F7" i="16" s="1"/>
  <c r="E5" i="16"/>
  <c r="E6" i="16" s="1"/>
  <c r="E7" i="16" s="1"/>
  <c r="D5" i="16"/>
  <c r="D6" i="16" s="1"/>
  <c r="D7" i="16" s="1"/>
  <c r="B1" i="15"/>
  <c r="D32" i="15"/>
  <c r="R29" i="15"/>
  <c r="R30" i="15" s="1"/>
  <c r="Q29" i="15"/>
  <c r="P29" i="15"/>
  <c r="O29" i="15"/>
  <c r="O30" i="15" s="1"/>
  <c r="N29" i="15"/>
  <c r="N30" i="15" s="1"/>
  <c r="M29" i="15"/>
  <c r="M30" i="15" s="1"/>
  <c r="L29" i="15"/>
  <c r="L30" i="15" s="1"/>
  <c r="K29" i="15"/>
  <c r="K30" i="15" s="1"/>
  <c r="J29" i="15"/>
  <c r="J30" i="15" s="1"/>
  <c r="I29" i="15"/>
  <c r="I30" i="15" s="1"/>
  <c r="H29" i="15"/>
  <c r="H30" i="15" s="1"/>
  <c r="G29" i="15"/>
  <c r="G30" i="15" s="1"/>
  <c r="F29" i="15"/>
  <c r="F30" i="15" s="1"/>
  <c r="D26" i="15"/>
  <c r="R23" i="15"/>
  <c r="R24" i="15" s="1"/>
  <c r="Q23" i="15"/>
  <c r="Q24" i="15" s="1"/>
  <c r="P23" i="15"/>
  <c r="P24" i="15" s="1"/>
  <c r="O23" i="15"/>
  <c r="O24" i="15" s="1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G24" i="15" s="1"/>
  <c r="F23" i="15"/>
  <c r="F24" i="15" s="1"/>
  <c r="D20" i="15"/>
  <c r="R17" i="15"/>
  <c r="R18" i="15" s="1"/>
  <c r="Q17" i="15"/>
  <c r="Q18" i="15" s="1"/>
  <c r="P17" i="15"/>
  <c r="P18" i="15" s="1"/>
  <c r="O17" i="15"/>
  <c r="O18" i="15" s="1"/>
  <c r="N17" i="15"/>
  <c r="N18" i="15" s="1"/>
  <c r="M17" i="15"/>
  <c r="M18" i="15" s="1"/>
  <c r="L17" i="15"/>
  <c r="L18" i="15" s="1"/>
  <c r="K17" i="15"/>
  <c r="K18" i="15" s="1"/>
  <c r="J17" i="15"/>
  <c r="J18" i="15" s="1"/>
  <c r="I17" i="15"/>
  <c r="I18" i="15" s="1"/>
  <c r="H17" i="15"/>
  <c r="H18" i="15" s="1"/>
  <c r="G17" i="15"/>
  <c r="G18" i="15" s="1"/>
  <c r="F17" i="15"/>
  <c r="F18" i="15" s="1"/>
  <c r="R11" i="15"/>
  <c r="R12" i="15" s="1"/>
  <c r="Q11" i="15"/>
  <c r="Q12" i="15" s="1"/>
  <c r="P11" i="15"/>
  <c r="P12" i="15" s="1"/>
  <c r="O11" i="15"/>
  <c r="O12" i="15" s="1"/>
  <c r="N11" i="15"/>
  <c r="N12" i="15" s="1"/>
  <c r="M11" i="15"/>
  <c r="M12" i="15" s="1"/>
  <c r="C8" i="15"/>
  <c r="L5" i="15"/>
  <c r="L6" i="15" s="1"/>
  <c r="L7" i="15" s="1"/>
  <c r="K5" i="15"/>
  <c r="K6" i="15" s="1"/>
  <c r="K7" i="15" s="1"/>
  <c r="J5" i="15"/>
  <c r="J6" i="15" s="1"/>
  <c r="J7" i="15" s="1"/>
  <c r="I5" i="15"/>
  <c r="I6" i="15" s="1"/>
  <c r="I7" i="15" s="1"/>
  <c r="H5" i="15"/>
  <c r="H6" i="15" s="1"/>
  <c r="H7" i="15" s="1"/>
  <c r="G5" i="15"/>
  <c r="G6" i="15" s="1"/>
  <c r="G7" i="15" s="1"/>
  <c r="F5" i="15"/>
  <c r="F6" i="15" s="1"/>
  <c r="F7" i="15" s="1"/>
  <c r="E5" i="15"/>
  <c r="E6" i="15" s="1"/>
  <c r="E7" i="15" s="1"/>
  <c r="D5" i="15"/>
  <c r="D6" i="15" s="1"/>
  <c r="D7" i="15" s="1"/>
  <c r="J31" i="18" l="1"/>
  <c r="J25" i="18"/>
  <c r="J19" i="18"/>
  <c r="K19" i="18"/>
  <c r="F25" i="18"/>
  <c r="F19" i="18"/>
  <c r="F31" i="18"/>
  <c r="H31" i="18"/>
  <c r="H25" i="18"/>
  <c r="H19" i="18"/>
  <c r="L31" i="18"/>
  <c r="L25" i="18"/>
  <c r="L19" i="18"/>
  <c r="M12" i="18"/>
  <c r="Q12" i="18"/>
  <c r="G18" i="18"/>
  <c r="G19" i="18" s="1"/>
  <c r="K18" i="18"/>
  <c r="O18" i="18"/>
  <c r="I24" i="18"/>
  <c r="I25" i="18" s="1"/>
  <c r="M24" i="18"/>
  <c r="Q24" i="18"/>
  <c r="G30" i="18"/>
  <c r="K30" i="18"/>
  <c r="K31" i="18" s="1"/>
  <c r="O30" i="18"/>
  <c r="I19" i="18"/>
  <c r="O12" i="18"/>
  <c r="I18" i="18"/>
  <c r="M18" i="18"/>
  <c r="Q18" i="18"/>
  <c r="G24" i="18"/>
  <c r="G25" i="18" s="1"/>
  <c r="K24" i="18"/>
  <c r="K25" i="18" s="1"/>
  <c r="O24" i="18"/>
  <c r="I30" i="18"/>
  <c r="I31" i="18" s="1"/>
  <c r="M30" i="18"/>
  <c r="Q30" i="18"/>
  <c r="C8" i="18"/>
  <c r="O12" i="17"/>
  <c r="I24" i="17"/>
  <c r="M24" i="17"/>
  <c r="Q24" i="17"/>
  <c r="G30" i="17"/>
  <c r="G31" i="17" s="1"/>
  <c r="K30" i="17"/>
  <c r="O30" i="17"/>
  <c r="I18" i="17"/>
  <c r="M18" i="17"/>
  <c r="Q18" i="17"/>
  <c r="G6" i="17"/>
  <c r="K6" i="17"/>
  <c r="N12" i="17"/>
  <c r="R12" i="17"/>
  <c r="H18" i="17"/>
  <c r="H19" i="17" s="1"/>
  <c r="L18" i="17"/>
  <c r="L19" i="17" s="1"/>
  <c r="P18" i="17"/>
  <c r="F24" i="17"/>
  <c r="F25" i="17" s="1"/>
  <c r="J24" i="17"/>
  <c r="J25" i="17" s="1"/>
  <c r="N24" i="17"/>
  <c r="R24" i="17"/>
  <c r="H30" i="17"/>
  <c r="H31" i="17" s="1"/>
  <c r="L30" i="17"/>
  <c r="L31" i="17" s="1"/>
  <c r="P30" i="17"/>
  <c r="I6" i="17"/>
  <c r="P12" i="17"/>
  <c r="F18" i="17"/>
  <c r="F19" i="17" s="1"/>
  <c r="J18" i="17"/>
  <c r="J19" i="17" s="1"/>
  <c r="N18" i="17"/>
  <c r="R18" i="17"/>
  <c r="H24" i="17"/>
  <c r="L24" i="17"/>
  <c r="L25" i="17" s="1"/>
  <c r="P24" i="17"/>
  <c r="F30" i="17"/>
  <c r="F31" i="17" s="1"/>
  <c r="J30" i="17"/>
  <c r="J31" i="17" s="1"/>
  <c r="N30" i="17"/>
  <c r="R30" i="17"/>
  <c r="K25" i="17"/>
  <c r="H25" i="17"/>
  <c r="I24" i="16"/>
  <c r="M24" i="16"/>
  <c r="Q24" i="16"/>
  <c r="G30" i="16"/>
  <c r="G31" i="16" s="1"/>
  <c r="K30" i="16"/>
  <c r="O30" i="16"/>
  <c r="I31" i="16"/>
  <c r="I19" i="16"/>
  <c r="J31" i="16"/>
  <c r="J25" i="16"/>
  <c r="J19" i="16"/>
  <c r="G25" i="16"/>
  <c r="G19" i="16"/>
  <c r="K31" i="16"/>
  <c r="K25" i="16"/>
  <c r="K19" i="16"/>
  <c r="F19" i="16"/>
  <c r="F31" i="16"/>
  <c r="F25" i="16"/>
  <c r="H31" i="16"/>
  <c r="H25" i="16"/>
  <c r="H19" i="16"/>
  <c r="L31" i="16"/>
  <c r="L25" i="16"/>
  <c r="L19" i="16"/>
  <c r="P30" i="15"/>
  <c r="Q30" i="15"/>
  <c r="F31" i="15"/>
  <c r="F19" i="15"/>
  <c r="F25" i="15"/>
  <c r="H31" i="15"/>
  <c r="H25" i="15"/>
  <c r="H19" i="15"/>
  <c r="L31" i="15"/>
  <c r="L25" i="15"/>
  <c r="L19" i="15"/>
  <c r="I31" i="15"/>
  <c r="I25" i="15"/>
  <c r="I19" i="15"/>
  <c r="J25" i="15"/>
  <c r="J31" i="15"/>
  <c r="J19" i="15"/>
  <c r="G31" i="15"/>
  <c r="G25" i="15"/>
  <c r="G19" i="15"/>
  <c r="K31" i="15"/>
  <c r="K25" i="15"/>
  <c r="K19" i="15"/>
  <c r="I31" i="17" l="1"/>
  <c r="I7" i="17"/>
  <c r="K19" i="17"/>
  <c r="K7" i="17"/>
  <c r="G25" i="17"/>
  <c r="G7" i="17"/>
  <c r="G31" i="18"/>
  <c r="G19" i="17"/>
  <c r="I19" i="17"/>
  <c r="I25" i="17"/>
  <c r="K31" i="17"/>
  <c r="I25" i="16"/>
  <c r="C7" i="4" l="1"/>
  <c r="C11" i="4"/>
  <c r="C15" i="4"/>
  <c r="C19" i="4"/>
  <c r="F29" i="8"/>
  <c r="F30" i="8" s="1"/>
  <c r="G29" i="8"/>
  <c r="G30" i="8" s="1"/>
  <c r="H29" i="8"/>
  <c r="H30" i="8" s="1"/>
  <c r="I29" i="8"/>
  <c r="I30" i="8" s="1"/>
  <c r="J29" i="8"/>
  <c r="J30" i="8" s="1"/>
  <c r="K29" i="8"/>
  <c r="K30" i="8" s="1"/>
  <c r="L29" i="8"/>
  <c r="L30" i="8" s="1"/>
  <c r="M29" i="8"/>
  <c r="M30" i="8" s="1"/>
  <c r="N29" i="8"/>
  <c r="N30" i="8" s="1"/>
  <c r="O29" i="8"/>
  <c r="O30" i="8" s="1"/>
  <c r="P29" i="8"/>
  <c r="P30" i="8" s="1"/>
  <c r="Q29" i="8"/>
  <c r="Q30" i="8" s="1"/>
  <c r="R29" i="8"/>
  <c r="R30" i="8" s="1"/>
  <c r="F23" i="8"/>
  <c r="F24" i="8" s="1"/>
  <c r="G23" i="8"/>
  <c r="G24" i="8" s="1"/>
  <c r="H23" i="8"/>
  <c r="H24" i="8" s="1"/>
  <c r="I23" i="8"/>
  <c r="I24" i="8" s="1"/>
  <c r="J23" i="8"/>
  <c r="J24" i="8" s="1"/>
  <c r="K23" i="8"/>
  <c r="K24" i="8" s="1"/>
  <c r="L23" i="8"/>
  <c r="L24" i="8" s="1"/>
  <c r="M23" i="8"/>
  <c r="M24" i="8" s="1"/>
  <c r="N23" i="8"/>
  <c r="N24" i="8" s="1"/>
  <c r="O23" i="8"/>
  <c r="O24" i="8" s="1"/>
  <c r="P23" i="8"/>
  <c r="P24" i="8" s="1"/>
  <c r="Q23" i="8"/>
  <c r="Q24" i="8" s="1"/>
  <c r="R23" i="8"/>
  <c r="R24" i="8" s="1"/>
  <c r="F18" i="8"/>
  <c r="G18" i="8"/>
  <c r="H18" i="8"/>
  <c r="I18" i="8"/>
  <c r="J18" i="8"/>
  <c r="K18" i="8"/>
  <c r="Q18" i="8"/>
  <c r="F17" i="8"/>
  <c r="G17" i="8"/>
  <c r="H17" i="8"/>
  <c r="I17" i="8"/>
  <c r="J17" i="8"/>
  <c r="K17" i="8"/>
  <c r="L17" i="8"/>
  <c r="L18" i="8" s="1"/>
  <c r="M17" i="8"/>
  <c r="M18" i="8" s="1"/>
  <c r="N17" i="8"/>
  <c r="N18" i="8" s="1"/>
  <c r="O17" i="8"/>
  <c r="O18" i="8" s="1"/>
  <c r="P17" i="8"/>
  <c r="P18" i="8" s="1"/>
  <c r="Q17" i="8"/>
  <c r="R17" i="8"/>
  <c r="R18" i="8" s="1"/>
  <c r="M11" i="8"/>
  <c r="M12" i="8" s="1"/>
  <c r="N11" i="8"/>
  <c r="N12" i="8" s="1"/>
  <c r="O11" i="8"/>
  <c r="O12" i="8" s="1"/>
  <c r="P11" i="8"/>
  <c r="P12" i="8" s="1"/>
  <c r="Q11" i="8"/>
  <c r="Q12" i="8" s="1"/>
  <c r="R11" i="8"/>
  <c r="R12" i="8" s="1"/>
  <c r="C8" i="8"/>
  <c r="E5" i="8"/>
  <c r="E6" i="8" s="1"/>
  <c r="E7" i="8" s="1"/>
  <c r="F5" i="8"/>
  <c r="F6" i="8" s="1"/>
  <c r="F7" i="8" s="1"/>
  <c r="G5" i="8"/>
  <c r="G6" i="8" s="1"/>
  <c r="G7" i="8" s="1"/>
  <c r="H5" i="8"/>
  <c r="H6" i="8" s="1"/>
  <c r="H7" i="8" s="1"/>
  <c r="I5" i="8"/>
  <c r="I6" i="8" s="1"/>
  <c r="I7" i="8" s="1"/>
  <c r="J5" i="8"/>
  <c r="J6" i="8" s="1"/>
  <c r="J7" i="8" s="1"/>
  <c r="K5" i="8"/>
  <c r="K6" i="8" s="1"/>
  <c r="K7" i="8" s="1"/>
  <c r="L5" i="8"/>
  <c r="L6" i="8" s="1"/>
  <c r="L7" i="8" s="1"/>
  <c r="D5" i="8"/>
  <c r="F30" i="7" l="1"/>
  <c r="G30" i="7"/>
  <c r="H30" i="7"/>
  <c r="I30" i="7"/>
  <c r="J30" i="7"/>
  <c r="K30" i="7"/>
  <c r="L30" i="7"/>
  <c r="M30" i="7"/>
  <c r="N30" i="7"/>
  <c r="O30" i="7"/>
  <c r="P30" i="7"/>
  <c r="Q30" i="7"/>
  <c r="R30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D24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E17" i="7"/>
  <c r="D17" i="7"/>
  <c r="D18" i="7" l="1"/>
  <c r="D17" i="17"/>
  <c r="D18" i="17" s="1"/>
  <c r="D17" i="15"/>
  <c r="D18" i="15" s="1"/>
  <c r="D17" i="16"/>
  <c r="D18" i="16" s="1"/>
  <c r="D17" i="18"/>
  <c r="D18" i="18" s="1"/>
  <c r="D17" i="8"/>
  <c r="D18" i="8" s="1"/>
  <c r="E18" i="7"/>
  <c r="E17" i="16"/>
  <c r="E18" i="16" s="1"/>
  <c r="E19" i="16" s="1"/>
  <c r="E17" i="18"/>
  <c r="E18" i="18" s="1"/>
  <c r="E19" i="18" s="1"/>
  <c r="E17" i="15"/>
  <c r="E18" i="15" s="1"/>
  <c r="E19" i="15" s="1"/>
  <c r="E17" i="17"/>
  <c r="E18" i="17" s="1"/>
  <c r="E19" i="17" s="1"/>
  <c r="E17" i="8"/>
  <c r="E18" i="8" s="1"/>
  <c r="E24" i="7"/>
  <c r="C24" i="7" s="1"/>
  <c r="E23" i="17"/>
  <c r="E24" i="17" s="1"/>
  <c r="E25" i="17" s="1"/>
  <c r="E23" i="16"/>
  <c r="E24" i="16" s="1"/>
  <c r="E25" i="16" s="1"/>
  <c r="E23" i="18"/>
  <c r="E24" i="18" s="1"/>
  <c r="E23" i="15"/>
  <c r="E24" i="15" s="1"/>
  <c r="E25" i="15" s="1"/>
  <c r="E23" i="8"/>
  <c r="E24" i="8" s="1"/>
  <c r="E30" i="7"/>
  <c r="E29" i="16"/>
  <c r="E30" i="16" s="1"/>
  <c r="E31" i="16" s="1"/>
  <c r="E29" i="17"/>
  <c r="E30" i="17" s="1"/>
  <c r="E31" i="17" s="1"/>
  <c r="E29" i="18"/>
  <c r="E30" i="18" s="1"/>
  <c r="E31" i="18" s="1"/>
  <c r="E29" i="15"/>
  <c r="E30" i="15" s="1"/>
  <c r="E31" i="15" s="1"/>
  <c r="E29" i="8"/>
  <c r="E30" i="8" s="1"/>
  <c r="D23" i="18"/>
  <c r="D24" i="18" s="1"/>
  <c r="D25" i="18" s="1"/>
  <c r="D23" i="17"/>
  <c r="D24" i="17" s="1"/>
  <c r="D23" i="16"/>
  <c r="D24" i="16" s="1"/>
  <c r="D23" i="15"/>
  <c r="D24" i="15" s="1"/>
  <c r="D23" i="8"/>
  <c r="D24" i="8" s="1"/>
  <c r="D30" i="7"/>
  <c r="C30" i="7" s="1"/>
  <c r="D29" i="15"/>
  <c r="D30" i="15" s="1"/>
  <c r="D29" i="16"/>
  <c r="D30" i="16" s="1"/>
  <c r="D29" i="18"/>
  <c r="D30" i="18" s="1"/>
  <c r="D29" i="17"/>
  <c r="D30" i="17" s="1"/>
  <c r="D29" i="8"/>
  <c r="D30" i="8" s="1"/>
  <c r="C18" i="7"/>
  <c r="M12" i="7"/>
  <c r="N12" i="7"/>
  <c r="O12" i="7"/>
  <c r="P12" i="7"/>
  <c r="Q12" i="7"/>
  <c r="R12" i="7"/>
  <c r="H6" i="7"/>
  <c r="I6" i="7"/>
  <c r="J6" i="7"/>
  <c r="K6" i="7"/>
  <c r="L6" i="7"/>
  <c r="E6" i="7"/>
  <c r="E7" i="7" s="1"/>
  <c r="F6" i="7"/>
  <c r="G6" i="7"/>
  <c r="D6" i="7"/>
  <c r="D7" i="7" s="1"/>
  <c r="E11" i="7"/>
  <c r="D11" i="7"/>
  <c r="M5" i="7"/>
  <c r="E25" i="7" l="1"/>
  <c r="E13" i="7"/>
  <c r="E19" i="7"/>
  <c r="E31" i="7"/>
  <c r="D25" i="7"/>
  <c r="D13" i="7"/>
  <c r="D19" i="7"/>
  <c r="D31" i="7"/>
  <c r="C24" i="8"/>
  <c r="D11" i="18"/>
  <c r="D12" i="18" s="1"/>
  <c r="D13" i="18" s="1"/>
  <c r="D11" i="17"/>
  <c r="D12" i="17" s="1"/>
  <c r="D13" i="17" s="1"/>
  <c r="D11" i="16"/>
  <c r="D12" i="16" s="1"/>
  <c r="D13" i="16" s="1"/>
  <c r="D11" i="15"/>
  <c r="D12" i="15" s="1"/>
  <c r="D13" i="15" s="1"/>
  <c r="D11" i="8"/>
  <c r="D12" i="8" s="1"/>
  <c r="C18" i="16"/>
  <c r="D19" i="16"/>
  <c r="E12" i="7"/>
  <c r="E11" i="16"/>
  <c r="E12" i="16" s="1"/>
  <c r="E13" i="16" s="1"/>
  <c r="E11" i="17"/>
  <c r="E12" i="17" s="1"/>
  <c r="E13" i="17" s="1"/>
  <c r="E11" i="18"/>
  <c r="E12" i="18" s="1"/>
  <c r="E13" i="18" s="1"/>
  <c r="E11" i="15"/>
  <c r="E12" i="15" s="1"/>
  <c r="E13" i="15" s="1"/>
  <c r="E11" i="8"/>
  <c r="E12" i="8" s="1"/>
  <c r="I7" i="7"/>
  <c r="I31" i="7"/>
  <c r="C30" i="8"/>
  <c r="D31" i="15"/>
  <c r="C30" i="15"/>
  <c r="D25" i="16"/>
  <c r="C24" i="16"/>
  <c r="C18" i="15"/>
  <c r="D19" i="15"/>
  <c r="J7" i="7"/>
  <c r="J31" i="7"/>
  <c r="D25" i="15"/>
  <c r="C24" i="15"/>
  <c r="L31" i="7"/>
  <c r="L7" i="7"/>
  <c r="H7" i="7"/>
  <c r="H31" i="7"/>
  <c r="D31" i="17"/>
  <c r="C30" i="17"/>
  <c r="D25" i="17"/>
  <c r="C24" i="17"/>
  <c r="C18" i="8"/>
  <c r="D19" i="17"/>
  <c r="C18" i="17"/>
  <c r="F31" i="7"/>
  <c r="F7" i="7"/>
  <c r="D31" i="16"/>
  <c r="C30" i="16"/>
  <c r="C24" i="18"/>
  <c r="E25" i="18"/>
  <c r="M6" i="7"/>
  <c r="M5" i="18"/>
  <c r="M6" i="18" s="1"/>
  <c r="M5" i="16"/>
  <c r="M6" i="16" s="1"/>
  <c r="M5" i="17"/>
  <c r="M6" i="17" s="1"/>
  <c r="M5" i="15"/>
  <c r="M6" i="15" s="1"/>
  <c r="M5" i="8"/>
  <c r="M6" i="8" s="1"/>
  <c r="M7" i="8" s="1"/>
  <c r="G31" i="7"/>
  <c r="G7" i="7"/>
  <c r="K31" i="7"/>
  <c r="K7" i="7"/>
  <c r="D12" i="7"/>
  <c r="D31" i="18"/>
  <c r="C30" i="18"/>
  <c r="D19" i="18"/>
  <c r="C18" i="18"/>
  <c r="N5" i="7"/>
  <c r="M7" i="16" l="1"/>
  <c r="M13" i="16"/>
  <c r="M31" i="16"/>
  <c r="M19" i="16"/>
  <c r="M25" i="16"/>
  <c r="M13" i="17"/>
  <c r="M7" i="17"/>
  <c r="M19" i="17"/>
  <c r="M25" i="17"/>
  <c r="M31" i="17"/>
  <c r="M7" i="18"/>
  <c r="M13" i="18"/>
  <c r="M25" i="18"/>
  <c r="M19" i="18"/>
  <c r="M31" i="18"/>
  <c r="N5" i="16"/>
  <c r="N6" i="16" s="1"/>
  <c r="N5" i="18"/>
  <c r="N6" i="18" s="1"/>
  <c r="N5" i="17"/>
  <c r="N6" i="17" s="1"/>
  <c r="N5" i="15"/>
  <c r="N6" i="15" s="1"/>
  <c r="N5" i="8"/>
  <c r="N6" i="8" s="1"/>
  <c r="N7" i="8" s="1"/>
  <c r="M7" i="15"/>
  <c r="M13" i="15"/>
  <c r="M19" i="15"/>
  <c r="M31" i="15"/>
  <c r="M25" i="15"/>
  <c r="M7" i="7"/>
  <c r="M31" i="7"/>
  <c r="N6" i="7"/>
  <c r="O5" i="7"/>
  <c r="N7" i="17" l="1"/>
  <c r="N19" i="17"/>
  <c r="N25" i="17"/>
  <c r="N31" i="17"/>
  <c r="N13" i="17"/>
  <c r="N7" i="18"/>
  <c r="N13" i="18"/>
  <c r="N19" i="18"/>
  <c r="N31" i="18"/>
  <c r="N25" i="18"/>
  <c r="N7" i="7"/>
  <c r="N31" i="7"/>
  <c r="N7" i="15"/>
  <c r="N19" i="15"/>
  <c r="N25" i="15"/>
  <c r="N13" i="15"/>
  <c r="N31" i="15"/>
  <c r="O5" i="17"/>
  <c r="O6" i="17" s="1"/>
  <c r="O5" i="15"/>
  <c r="O6" i="15" s="1"/>
  <c r="O5" i="16"/>
  <c r="O6" i="16" s="1"/>
  <c r="O5" i="18"/>
  <c r="O6" i="18" s="1"/>
  <c r="O5" i="8"/>
  <c r="O6" i="8" s="1"/>
  <c r="O7" i="8" s="1"/>
  <c r="N7" i="16"/>
  <c r="N31" i="16"/>
  <c r="N13" i="16"/>
  <c r="N19" i="16"/>
  <c r="N25" i="16"/>
  <c r="O6" i="7"/>
  <c r="P5" i="7"/>
  <c r="O7" i="18" l="1"/>
  <c r="O19" i="18"/>
  <c r="O13" i="18"/>
  <c r="O25" i="18"/>
  <c r="O31" i="18"/>
  <c r="P5" i="18"/>
  <c r="P6" i="18" s="1"/>
  <c r="P5" i="17"/>
  <c r="P6" i="17" s="1"/>
  <c r="P5" i="16"/>
  <c r="P6" i="16" s="1"/>
  <c r="P5" i="15"/>
  <c r="P6" i="15" s="1"/>
  <c r="P5" i="8"/>
  <c r="P6" i="8" s="1"/>
  <c r="P7" i="8" s="1"/>
  <c r="O7" i="17"/>
  <c r="O25" i="17"/>
  <c r="O19" i="17"/>
  <c r="O31" i="17"/>
  <c r="O13" i="17"/>
  <c r="O31" i="7"/>
  <c r="O7" i="7"/>
  <c r="O7" i="16"/>
  <c r="O25" i="16"/>
  <c r="O13" i="16"/>
  <c r="O19" i="16"/>
  <c r="O31" i="16"/>
  <c r="O7" i="15"/>
  <c r="O13" i="15"/>
  <c r="O31" i="15"/>
  <c r="O19" i="15"/>
  <c r="O25" i="15"/>
  <c r="P6" i="7"/>
  <c r="Q5" i="7"/>
  <c r="P7" i="18" l="1"/>
  <c r="P25" i="18"/>
  <c r="P19" i="18"/>
  <c r="P31" i="18"/>
  <c r="P13" i="18"/>
  <c r="P7" i="15"/>
  <c r="P13" i="15"/>
  <c r="P19" i="15"/>
  <c r="P25" i="15"/>
  <c r="P31" i="15"/>
  <c r="P7" i="16"/>
  <c r="P19" i="16"/>
  <c r="P13" i="16"/>
  <c r="P31" i="16"/>
  <c r="P25" i="16"/>
  <c r="P31" i="7"/>
  <c r="P7" i="7"/>
  <c r="Q5" i="18"/>
  <c r="Q6" i="18" s="1"/>
  <c r="Q5" i="16"/>
  <c r="Q6" i="16" s="1"/>
  <c r="Q5" i="17"/>
  <c r="Q6" i="17" s="1"/>
  <c r="Q5" i="15"/>
  <c r="Q6" i="15" s="1"/>
  <c r="Q5" i="8"/>
  <c r="Q6" i="8" s="1"/>
  <c r="Q7" i="8" s="1"/>
  <c r="P7" i="17"/>
  <c r="P25" i="17"/>
  <c r="P31" i="17"/>
  <c r="P19" i="17"/>
  <c r="P13" i="17"/>
  <c r="R5" i="7"/>
  <c r="Q6" i="7"/>
  <c r="Q7" i="17" l="1"/>
  <c r="Q13" i="17"/>
  <c r="Q25" i="17"/>
  <c r="Q19" i="17"/>
  <c r="Q31" i="17"/>
  <c r="Q7" i="16"/>
  <c r="Q13" i="16"/>
  <c r="Q19" i="16"/>
  <c r="Q31" i="16"/>
  <c r="Q25" i="16"/>
  <c r="Q7" i="15"/>
  <c r="Q13" i="15"/>
  <c r="Q19" i="15"/>
  <c r="Q25" i="15"/>
  <c r="Q31" i="15"/>
  <c r="Q7" i="7"/>
  <c r="Q31" i="7"/>
  <c r="R6" i="7"/>
  <c r="R5" i="16"/>
  <c r="R6" i="16" s="1"/>
  <c r="C6" i="16" s="1"/>
  <c r="R5" i="17"/>
  <c r="R6" i="17" s="1"/>
  <c r="R5" i="15"/>
  <c r="R6" i="15" s="1"/>
  <c r="C6" i="15" s="1"/>
  <c r="R5" i="18"/>
  <c r="R6" i="18" s="1"/>
  <c r="R5" i="8"/>
  <c r="Q7" i="18"/>
  <c r="Q25" i="18"/>
  <c r="Q13" i="18"/>
  <c r="Q19" i="18"/>
  <c r="Q31" i="18"/>
  <c r="D14" i="7"/>
  <c r="R7" i="17" l="1"/>
  <c r="C7" i="17" s="1"/>
  <c r="C9" i="17" s="1"/>
  <c r="R25" i="17"/>
  <c r="C25" i="17" s="1"/>
  <c r="R31" i="17"/>
  <c r="C31" i="17" s="1"/>
  <c r="R19" i="17"/>
  <c r="C19" i="17" s="1"/>
  <c r="R13" i="17"/>
  <c r="R7" i="16"/>
  <c r="C7" i="16" s="1"/>
  <c r="C9" i="16" s="1"/>
  <c r="R25" i="16"/>
  <c r="C25" i="16" s="1"/>
  <c r="R13" i="16"/>
  <c r="R31" i="16"/>
  <c r="C31" i="16" s="1"/>
  <c r="R19" i="16"/>
  <c r="C19" i="16" s="1"/>
  <c r="C6" i="17"/>
  <c r="R7" i="15"/>
  <c r="C7" i="15" s="1"/>
  <c r="C9" i="15" s="1"/>
  <c r="R13" i="15"/>
  <c r="R31" i="15"/>
  <c r="C31" i="15" s="1"/>
  <c r="R19" i="15"/>
  <c r="C19" i="15" s="1"/>
  <c r="R25" i="15"/>
  <c r="C25" i="15" s="1"/>
  <c r="R7" i="18"/>
  <c r="C7" i="18" s="1"/>
  <c r="C9" i="18" s="1"/>
  <c r="R31" i="18"/>
  <c r="C31" i="18" s="1"/>
  <c r="R13" i="18"/>
  <c r="R25" i="18"/>
  <c r="C25" i="18" s="1"/>
  <c r="R19" i="18"/>
  <c r="C19" i="18" s="1"/>
  <c r="C6" i="18"/>
  <c r="R7" i="7"/>
  <c r="C7" i="7" s="1"/>
  <c r="R31" i="7"/>
  <c r="A3" i="13"/>
  <c r="A4" i="13"/>
  <c r="A5" i="13"/>
  <c r="A6" i="13"/>
  <c r="C30" i="4" l="1"/>
  <c r="D30" i="4" s="1"/>
  <c r="C31" i="4"/>
  <c r="D31" i="4" s="1"/>
  <c r="C32" i="4"/>
  <c r="C33" i="4"/>
  <c r="D33" i="4" s="1"/>
  <c r="E33" i="4" l="1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D20" i="4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D12" i="4"/>
  <c r="E30" i="4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D8" i="4"/>
  <c r="D32" i="4"/>
  <c r="E32" i="4" l="1"/>
  <c r="F32" i="4" s="1"/>
  <c r="D16" i="4"/>
  <c r="D21" i="4"/>
  <c r="E21" i="4" l="1"/>
  <c r="F21" i="4" s="1"/>
  <c r="D13" i="4"/>
  <c r="G32" i="4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E13" i="4" l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l="1"/>
  <c r="Q11" i="4" s="1"/>
  <c r="P11" i="4"/>
  <c r="D9" i="4"/>
  <c r="D17" i="4"/>
  <c r="G21" i="4"/>
  <c r="Q20" i="16" l="1"/>
  <c r="Q20" i="18"/>
  <c r="Q20" i="15"/>
  <c r="Q20" i="17"/>
  <c r="R20" i="17"/>
  <c r="R20" i="18"/>
  <c r="R20" i="15"/>
  <c r="R20" i="16"/>
  <c r="D7" i="4"/>
  <c r="H21" i="4"/>
  <c r="I21" i="4" s="1"/>
  <c r="J21" i="4" s="1"/>
  <c r="K21" i="4" s="1"/>
  <c r="L21" i="4" s="1"/>
  <c r="M21" i="4" s="1"/>
  <c r="N21" i="4" s="1"/>
  <c r="O21" i="4" s="1"/>
  <c r="P21" i="4" s="1"/>
  <c r="Q21" i="4" s="1"/>
  <c r="Q19" i="4" s="1"/>
  <c r="E14" i="7"/>
  <c r="Q20" i="8"/>
  <c r="Q20" i="7"/>
  <c r="R20" i="8"/>
  <c r="R20" i="7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R32" i="18" l="1"/>
  <c r="R32" i="17"/>
  <c r="R32" i="16"/>
  <c r="R32" i="15"/>
  <c r="E14" i="8"/>
  <c r="E14" i="18"/>
  <c r="E14" i="15"/>
  <c r="E14" i="17"/>
  <c r="E14" i="16"/>
  <c r="P19" i="4"/>
  <c r="P7" i="4"/>
  <c r="Q9" i="4"/>
  <c r="Q7" i="4" s="1"/>
  <c r="Q32" i="7"/>
  <c r="Q17" i="4"/>
  <c r="Q15" i="4" s="1"/>
  <c r="P15" i="4"/>
  <c r="R32" i="8"/>
  <c r="R32" i="7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B5" i="6"/>
  <c r="R14" i="18" l="1"/>
  <c r="R14" i="17"/>
  <c r="R14" i="16"/>
  <c r="R14" i="15"/>
  <c r="R26" i="17"/>
  <c r="R26" i="18"/>
  <c r="R26" i="15"/>
  <c r="R26" i="16"/>
  <c r="Q14" i="18"/>
  <c r="Q14" i="15"/>
  <c r="Q14" i="17"/>
  <c r="Q14" i="16"/>
  <c r="Q26" i="18"/>
  <c r="Q26" i="17"/>
  <c r="Q26" i="15"/>
  <c r="Q26" i="16"/>
  <c r="Q32" i="16"/>
  <c r="Q32" i="17"/>
  <c r="Q32" i="18"/>
  <c r="Q32" i="15"/>
  <c r="Q32" i="8"/>
  <c r="B6" i="6"/>
  <c r="B7" i="6" s="1"/>
  <c r="M6" i="6"/>
  <c r="M7" i="6" s="1"/>
  <c r="I6" i="6"/>
  <c r="I7" i="6" s="1"/>
  <c r="E6" i="6"/>
  <c r="E7" i="6" s="1"/>
  <c r="P6" i="6"/>
  <c r="P7" i="6" s="1"/>
  <c r="L6" i="6"/>
  <c r="L7" i="6" s="1"/>
  <c r="H6" i="6"/>
  <c r="H7" i="6" s="1"/>
  <c r="D6" i="6"/>
  <c r="D7" i="6" s="1"/>
  <c r="O6" i="6"/>
  <c r="O7" i="6" s="1"/>
  <c r="K6" i="6"/>
  <c r="K7" i="6" s="1"/>
  <c r="G6" i="6"/>
  <c r="G7" i="6" s="1"/>
  <c r="C6" i="6"/>
  <c r="C7" i="6" s="1"/>
  <c r="N6" i="6"/>
  <c r="N7" i="6" s="1"/>
  <c r="J6" i="6"/>
  <c r="J7" i="6" s="1"/>
  <c r="F6" i="6"/>
  <c r="F7" i="6" s="1"/>
  <c r="Q26" i="8"/>
  <c r="Q26" i="7"/>
  <c r="R26" i="8"/>
  <c r="R26" i="7"/>
  <c r="R14" i="7"/>
  <c r="R14" i="8"/>
  <c r="Q14" i="7"/>
  <c r="Q14" i="8"/>
  <c r="C8" i="7"/>
  <c r="B1" i="8"/>
  <c r="O19" i="4"/>
  <c r="N19" i="4"/>
  <c r="M19" i="4"/>
  <c r="L19" i="4"/>
  <c r="K19" i="4"/>
  <c r="J19" i="4"/>
  <c r="I19" i="4"/>
  <c r="H19" i="4"/>
  <c r="G19" i="4"/>
  <c r="F19" i="4"/>
  <c r="E19" i="4"/>
  <c r="D19" i="4"/>
  <c r="O15" i="4"/>
  <c r="N15" i="4"/>
  <c r="M15" i="4"/>
  <c r="L15" i="4"/>
  <c r="K15" i="4"/>
  <c r="J15" i="4"/>
  <c r="I15" i="4"/>
  <c r="H15" i="4"/>
  <c r="G15" i="4"/>
  <c r="F15" i="4"/>
  <c r="E15" i="4"/>
  <c r="D15" i="4"/>
  <c r="H11" i="4"/>
  <c r="G11" i="4"/>
  <c r="F11" i="4"/>
  <c r="E11" i="4"/>
  <c r="D11" i="4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M13" i="7"/>
  <c r="N13" i="7"/>
  <c r="O13" i="7"/>
  <c r="P13" i="7"/>
  <c r="Q13" i="7"/>
  <c r="R13" i="7"/>
  <c r="E7" i="4"/>
  <c r="F7" i="4"/>
  <c r="G7" i="4"/>
  <c r="H7" i="4"/>
  <c r="I7" i="4"/>
  <c r="J7" i="4"/>
  <c r="K7" i="4"/>
  <c r="L7" i="4"/>
  <c r="M7" i="4"/>
  <c r="N7" i="4"/>
  <c r="O7" i="4"/>
  <c r="B2" i="6" l="1"/>
  <c r="P14" i="18"/>
  <c r="P14" i="15"/>
  <c r="P14" i="17"/>
  <c r="P14" i="16"/>
  <c r="H14" i="18"/>
  <c r="H14" i="15"/>
  <c r="H14" i="16"/>
  <c r="H14" i="17"/>
  <c r="F20" i="17"/>
  <c r="F20" i="18"/>
  <c r="F20" i="16"/>
  <c r="F20" i="15"/>
  <c r="I26" i="18"/>
  <c r="I26" i="17"/>
  <c r="I26" i="15"/>
  <c r="I26" i="16"/>
  <c r="I32" i="16"/>
  <c r="I32" i="17"/>
  <c r="I32" i="18"/>
  <c r="I32" i="15"/>
  <c r="K14" i="17"/>
  <c r="K14" i="16"/>
  <c r="K14" i="18"/>
  <c r="K14" i="15"/>
  <c r="G20" i="18"/>
  <c r="G20" i="15"/>
  <c r="G20" i="16"/>
  <c r="G20" i="17"/>
  <c r="J26" i="17"/>
  <c r="J26" i="18"/>
  <c r="J26" i="16"/>
  <c r="J26" i="15"/>
  <c r="F32" i="18"/>
  <c r="F32" i="17"/>
  <c r="F32" i="15"/>
  <c r="F32" i="16"/>
  <c r="N32" i="18"/>
  <c r="N32" i="17"/>
  <c r="N32" i="15"/>
  <c r="N32" i="16"/>
  <c r="N14" i="18"/>
  <c r="N14" i="15"/>
  <c r="N14" i="17"/>
  <c r="N14" i="16"/>
  <c r="H20" i="17"/>
  <c r="H20" i="18"/>
  <c r="H20" i="16"/>
  <c r="H20" i="15"/>
  <c r="K26" i="16"/>
  <c r="K26" i="18"/>
  <c r="K26" i="17"/>
  <c r="K26" i="15"/>
  <c r="G32" i="18"/>
  <c r="G32" i="15"/>
  <c r="G32" i="16"/>
  <c r="G32" i="17"/>
  <c r="K32" i="18"/>
  <c r="K32" i="15"/>
  <c r="K32" i="16"/>
  <c r="K32" i="17"/>
  <c r="O32" i="18"/>
  <c r="O32" i="15"/>
  <c r="O32" i="16"/>
  <c r="O32" i="17"/>
  <c r="L14" i="18"/>
  <c r="L14" i="16"/>
  <c r="L14" i="15"/>
  <c r="L14" i="17"/>
  <c r="E26" i="18"/>
  <c r="E26" i="17"/>
  <c r="E26" i="15"/>
  <c r="E26" i="16"/>
  <c r="M26" i="18"/>
  <c r="M26" i="17"/>
  <c r="M26" i="15"/>
  <c r="M26" i="16"/>
  <c r="E32" i="16"/>
  <c r="E32" i="17"/>
  <c r="E32" i="18"/>
  <c r="E32" i="15"/>
  <c r="M32" i="16"/>
  <c r="M32" i="17"/>
  <c r="M32" i="18"/>
  <c r="M32" i="15"/>
  <c r="O14" i="17"/>
  <c r="O14" i="16"/>
  <c r="O14" i="18"/>
  <c r="O14" i="15"/>
  <c r="G14" i="17"/>
  <c r="G14" i="16"/>
  <c r="G14" i="18"/>
  <c r="G14" i="15"/>
  <c r="F26" i="17"/>
  <c r="F26" i="18"/>
  <c r="F26" i="15"/>
  <c r="F26" i="16"/>
  <c r="N26" i="17"/>
  <c r="N26" i="18"/>
  <c r="N26" i="16"/>
  <c r="N26" i="15"/>
  <c r="J32" i="18"/>
  <c r="J32" i="17"/>
  <c r="J32" i="16"/>
  <c r="J32" i="15"/>
  <c r="J14" i="18"/>
  <c r="J14" i="17"/>
  <c r="J14" i="15"/>
  <c r="J14" i="16"/>
  <c r="F14" i="18"/>
  <c r="F14" i="17"/>
  <c r="F14" i="16"/>
  <c r="F14" i="15"/>
  <c r="G26" i="16"/>
  <c r="G26" i="18"/>
  <c r="G26" i="17"/>
  <c r="G26" i="15"/>
  <c r="O26" i="16"/>
  <c r="O26" i="18"/>
  <c r="O26" i="17"/>
  <c r="O26" i="15"/>
  <c r="M14" i="18"/>
  <c r="M14" i="15"/>
  <c r="M14" i="17"/>
  <c r="M14" i="16"/>
  <c r="I14" i="18"/>
  <c r="I14" i="15"/>
  <c r="I14" i="17"/>
  <c r="I14" i="16"/>
  <c r="E20" i="16"/>
  <c r="E20" i="18"/>
  <c r="E20" i="15"/>
  <c r="E20" i="17"/>
  <c r="I20" i="16"/>
  <c r="I20" i="18"/>
  <c r="I20" i="15"/>
  <c r="I20" i="17"/>
  <c r="H26" i="18"/>
  <c r="H26" i="16"/>
  <c r="H26" i="15"/>
  <c r="H26" i="17"/>
  <c r="L26" i="18"/>
  <c r="L26" i="15"/>
  <c r="L26" i="16"/>
  <c r="L26" i="17"/>
  <c r="P26" i="18"/>
  <c r="P26" i="17"/>
  <c r="P26" i="16"/>
  <c r="P26" i="15"/>
  <c r="H32" i="17"/>
  <c r="H32" i="18"/>
  <c r="H32" i="15"/>
  <c r="H32" i="16"/>
  <c r="L32" i="17"/>
  <c r="L32" i="18"/>
  <c r="L32" i="16"/>
  <c r="L32" i="15"/>
  <c r="P32" i="17"/>
  <c r="P32" i="18"/>
  <c r="P32" i="16"/>
  <c r="P32" i="15"/>
  <c r="I14" i="8"/>
  <c r="I14" i="7"/>
  <c r="H20" i="8"/>
  <c r="H20" i="7"/>
  <c r="J26" i="8"/>
  <c r="J26" i="7"/>
  <c r="E32" i="8"/>
  <c r="E32" i="7"/>
  <c r="P14" i="8"/>
  <c r="P14" i="7"/>
  <c r="L14" i="8"/>
  <c r="L14" i="7"/>
  <c r="H14" i="8"/>
  <c r="H14" i="7"/>
  <c r="E20" i="8"/>
  <c r="E20" i="7"/>
  <c r="I20" i="8"/>
  <c r="I20" i="7"/>
  <c r="G26" i="8"/>
  <c r="G26" i="7"/>
  <c r="K26" i="8"/>
  <c r="K26" i="7"/>
  <c r="O26" i="8"/>
  <c r="O26" i="7"/>
  <c r="F32" i="8"/>
  <c r="F32" i="7"/>
  <c r="J32" i="8"/>
  <c r="J32" i="7"/>
  <c r="N32" i="8"/>
  <c r="N32" i="7"/>
  <c r="M14" i="8"/>
  <c r="M14" i="7"/>
  <c r="F26" i="8"/>
  <c r="F26" i="7"/>
  <c r="I32" i="8"/>
  <c r="I32" i="7"/>
  <c r="O14" i="8"/>
  <c r="O14" i="7"/>
  <c r="K14" i="8"/>
  <c r="K14" i="7"/>
  <c r="G14" i="8"/>
  <c r="G14" i="7"/>
  <c r="F20" i="8"/>
  <c r="F20" i="7"/>
  <c r="D26" i="8"/>
  <c r="D26" i="7"/>
  <c r="H26" i="8"/>
  <c r="H26" i="7"/>
  <c r="L26" i="8"/>
  <c r="L26" i="7"/>
  <c r="P26" i="8"/>
  <c r="P26" i="7"/>
  <c r="G32" i="8"/>
  <c r="G32" i="7"/>
  <c r="K32" i="8"/>
  <c r="K32" i="7"/>
  <c r="O32" i="8"/>
  <c r="O32" i="7"/>
  <c r="D20" i="8"/>
  <c r="D20" i="7"/>
  <c r="N26" i="8"/>
  <c r="N26" i="7"/>
  <c r="M32" i="8"/>
  <c r="M32" i="7"/>
  <c r="N14" i="8"/>
  <c r="N14" i="7"/>
  <c r="J14" i="8"/>
  <c r="J14" i="7"/>
  <c r="F14" i="8"/>
  <c r="F14" i="7"/>
  <c r="G20" i="8"/>
  <c r="G20" i="7"/>
  <c r="E26" i="8"/>
  <c r="E26" i="7"/>
  <c r="I26" i="8"/>
  <c r="I26" i="7"/>
  <c r="M26" i="8"/>
  <c r="M26" i="7"/>
  <c r="D32" i="8"/>
  <c r="D32" i="7"/>
  <c r="H32" i="8"/>
  <c r="H32" i="7"/>
  <c r="L32" i="8"/>
  <c r="L32" i="7"/>
  <c r="P32" i="8"/>
  <c r="P32" i="7"/>
  <c r="D6" i="8"/>
  <c r="R6" i="8"/>
  <c r="R7" i="8" s="1"/>
  <c r="C31" i="7"/>
  <c r="C25" i="7"/>
  <c r="C19" i="7"/>
  <c r="C9" i="7"/>
  <c r="D8" i="6" l="1"/>
  <c r="C8" i="6"/>
  <c r="B8" i="6"/>
  <c r="D7" i="8"/>
  <c r="C7" i="8" s="1"/>
  <c r="C6" i="8"/>
  <c r="C14" i="18"/>
  <c r="C32" i="18"/>
  <c r="C33" i="18" s="1"/>
  <c r="L6" i="13" s="1"/>
  <c r="C26" i="16"/>
  <c r="C27" i="16" s="1"/>
  <c r="H5" i="13" s="1"/>
  <c r="C26" i="15"/>
  <c r="C27" i="15" s="1"/>
  <c r="F5" i="13" s="1"/>
  <c r="C14" i="16"/>
  <c r="C32" i="16"/>
  <c r="C33" i="16" s="1"/>
  <c r="H6" i="13" s="1"/>
  <c r="C26" i="17"/>
  <c r="C27" i="17" s="1"/>
  <c r="J5" i="13" s="1"/>
  <c r="C14" i="15"/>
  <c r="C32" i="17"/>
  <c r="C33" i="17" s="1"/>
  <c r="J6" i="13" s="1"/>
  <c r="C14" i="17"/>
  <c r="C32" i="15"/>
  <c r="C33" i="15" s="1"/>
  <c r="F6" i="13" s="1"/>
  <c r="C26" i="18"/>
  <c r="C27" i="18" s="1"/>
  <c r="L5" i="13" s="1"/>
  <c r="C14" i="7"/>
  <c r="C32" i="7"/>
  <c r="C26" i="7"/>
  <c r="C32" i="8"/>
  <c r="C14" i="8"/>
  <c r="C26" i="8"/>
  <c r="D19" i="8"/>
  <c r="D31" i="8"/>
  <c r="D13" i="8"/>
  <c r="D25" i="8"/>
  <c r="E13" i="8"/>
  <c r="E25" i="8"/>
  <c r="E19" i="8"/>
  <c r="E31" i="8"/>
  <c r="I11" i="4"/>
  <c r="K19" i="8"/>
  <c r="F19" i="8"/>
  <c r="H31" i="8"/>
  <c r="G19" i="8"/>
  <c r="B9" i="6"/>
  <c r="K31" i="8"/>
  <c r="L25" i="8"/>
  <c r="H19" i="8"/>
  <c r="O19" i="8"/>
  <c r="L19" i="8"/>
  <c r="H25" i="8"/>
  <c r="L31" i="8"/>
  <c r="P31" i="8"/>
  <c r="F31" i="8"/>
  <c r="F25" i="8"/>
  <c r="G31" i="8"/>
  <c r="G25" i="8"/>
  <c r="R31" i="8"/>
  <c r="R25" i="8"/>
  <c r="R19" i="8"/>
  <c r="R13" i="8"/>
  <c r="Q25" i="8"/>
  <c r="Q19" i="8"/>
  <c r="Q13" i="8"/>
  <c r="Q31" i="8"/>
  <c r="P19" i="8"/>
  <c r="P13" i="8"/>
  <c r="O25" i="8"/>
  <c r="O13" i="8"/>
  <c r="N31" i="8"/>
  <c r="N19" i="8"/>
  <c r="N13" i="8"/>
  <c r="N25" i="8"/>
  <c r="M19" i="8"/>
  <c r="M13" i="8"/>
  <c r="M31" i="8"/>
  <c r="M25" i="8"/>
  <c r="O31" i="8"/>
  <c r="P25" i="8"/>
  <c r="K25" i="8"/>
  <c r="J25" i="8"/>
  <c r="J19" i="8"/>
  <c r="J31" i="8"/>
  <c r="I31" i="8"/>
  <c r="I19" i="8"/>
  <c r="I25" i="8"/>
  <c r="C19" i="8" l="1"/>
  <c r="E8" i="6"/>
  <c r="J8" i="6"/>
  <c r="O8" i="6"/>
  <c r="H8" i="6"/>
  <c r="I8" i="6"/>
  <c r="N8" i="6"/>
  <c r="L8" i="6"/>
  <c r="M8" i="6"/>
  <c r="G8" i="6"/>
  <c r="P8" i="6"/>
  <c r="F8" i="6"/>
  <c r="K8" i="6"/>
  <c r="J20" i="17"/>
  <c r="J20" i="18"/>
  <c r="J20" i="15"/>
  <c r="J20" i="16"/>
  <c r="C25" i="8"/>
  <c r="C31" i="8"/>
  <c r="C33" i="8" s="1"/>
  <c r="D6" i="13" s="1"/>
  <c r="C33" i="7"/>
  <c r="C7" i="14" s="1"/>
  <c r="J20" i="8"/>
  <c r="J20" i="7"/>
  <c r="J11" i="4"/>
  <c r="C9" i="8"/>
  <c r="C27" i="7"/>
  <c r="C6" i="14" s="1"/>
  <c r="C27" i="8"/>
  <c r="D5" i="13" s="1"/>
  <c r="K20" i="18" l="1"/>
  <c r="K20" i="15"/>
  <c r="K20" i="16"/>
  <c r="K20" i="17"/>
  <c r="K20" i="8"/>
  <c r="K20" i="7"/>
  <c r="K11" i="4"/>
  <c r="B6" i="13"/>
  <c r="B5" i="13"/>
  <c r="L20" i="17" l="1"/>
  <c r="L20" i="18"/>
  <c r="L20" i="16"/>
  <c r="L20" i="15"/>
  <c r="L20" i="8"/>
  <c r="L20" i="7"/>
  <c r="L11" i="4"/>
  <c r="N6" i="13"/>
  <c r="N5" i="13"/>
  <c r="M20" i="16" l="1"/>
  <c r="M20" i="18"/>
  <c r="M20" i="15"/>
  <c r="M20" i="17"/>
  <c r="M20" i="8"/>
  <c r="M20" i="7"/>
  <c r="M11" i="4"/>
  <c r="N20" i="17" l="1"/>
  <c r="N20" i="18"/>
  <c r="N20" i="16"/>
  <c r="N20" i="15"/>
  <c r="N20" i="8"/>
  <c r="N20" i="7"/>
  <c r="N11" i="4"/>
  <c r="O20" i="18" l="1"/>
  <c r="O20" i="15"/>
  <c r="O20" i="16"/>
  <c r="O20" i="17"/>
  <c r="O20" i="8"/>
  <c r="O20" i="7"/>
  <c r="O11" i="4"/>
  <c r="P20" i="17" l="1"/>
  <c r="C20" i="17" s="1"/>
  <c r="C21" i="17" s="1"/>
  <c r="J4" i="13" s="1"/>
  <c r="P20" i="18"/>
  <c r="C20" i="18" s="1"/>
  <c r="C21" i="18" s="1"/>
  <c r="L4" i="13" s="1"/>
  <c r="P20" i="16"/>
  <c r="C20" i="16" s="1"/>
  <c r="C21" i="16" s="1"/>
  <c r="H4" i="13" s="1"/>
  <c r="P20" i="15"/>
  <c r="C20" i="15" s="1"/>
  <c r="C21" i="15" s="1"/>
  <c r="F4" i="13" s="1"/>
  <c r="P20" i="8"/>
  <c r="C20" i="8" s="1"/>
  <c r="C21" i="8" s="1"/>
  <c r="D4" i="13" s="1"/>
  <c r="P20" i="7"/>
  <c r="C9" i="6" l="1"/>
  <c r="J9" i="6"/>
  <c r="E9" i="6"/>
  <c r="G9" i="6"/>
  <c r="N9" i="6"/>
  <c r="P9" i="6"/>
  <c r="M9" i="6"/>
  <c r="O9" i="6"/>
  <c r="K9" i="6"/>
  <c r="D9" i="6"/>
  <c r="I9" i="6"/>
  <c r="L9" i="6"/>
  <c r="F9" i="6"/>
  <c r="H9" i="6"/>
  <c r="C20" i="7"/>
  <c r="C21" i="7" s="1"/>
  <c r="C5" i="14" s="1"/>
  <c r="B4" i="13" l="1"/>
  <c r="N4" i="13" l="1"/>
  <c r="I11" i="18" l="1"/>
  <c r="I12" i="18" s="1"/>
  <c r="I13" i="18" s="1"/>
  <c r="H12" i="7"/>
  <c r="H13" i="7" s="1"/>
  <c r="K12" i="7"/>
  <c r="K13" i="7" s="1"/>
  <c r="L11" i="16"/>
  <c r="L12" i="16" s="1"/>
  <c r="L13" i="16" s="1"/>
  <c r="G11" i="15"/>
  <c r="G12" i="15" s="1"/>
  <c r="G13" i="15" s="1"/>
  <c r="I11" i="16"/>
  <c r="I12" i="16" s="1"/>
  <c r="I13" i="16" s="1"/>
  <c r="H11" i="16"/>
  <c r="H12" i="16" s="1"/>
  <c r="H13" i="16" s="1"/>
  <c r="G11" i="18"/>
  <c r="G12" i="18" s="1"/>
  <c r="G13" i="18" s="1"/>
  <c r="J11" i="15"/>
  <c r="J12" i="15" s="1"/>
  <c r="J13" i="15" s="1"/>
  <c r="J11" i="18"/>
  <c r="J12" i="18" s="1"/>
  <c r="J13" i="18" s="1"/>
  <c r="J11" i="17"/>
  <c r="J12" i="17" s="1"/>
  <c r="J13" i="17" s="1"/>
  <c r="J12" i="7"/>
  <c r="J13" i="7" s="1"/>
  <c r="L12" i="7"/>
  <c r="L13" i="7" s="1"/>
  <c r="I12" i="7"/>
  <c r="I13" i="7" s="1"/>
  <c r="G12" i="7"/>
  <c r="G13" i="7" s="1"/>
  <c r="J11" i="8"/>
  <c r="J12" i="8" s="1"/>
  <c r="J13" i="8" s="1"/>
  <c r="K11" i="8"/>
  <c r="K12" i="8" s="1"/>
  <c r="K13" i="8" s="1"/>
  <c r="L11" i="8"/>
  <c r="L12" i="8" s="1"/>
  <c r="L13" i="8" s="1"/>
  <c r="I11" i="8"/>
  <c r="I12" i="8" s="1"/>
  <c r="I13" i="8" s="1"/>
  <c r="H11" i="8"/>
  <c r="H12" i="8" s="1"/>
  <c r="H13" i="8" s="1"/>
  <c r="G11" i="8"/>
  <c r="G12" i="8" s="1"/>
  <c r="G13" i="8" s="1"/>
  <c r="F11" i="8"/>
  <c r="F12" i="8" s="1"/>
  <c r="L11" i="18"/>
  <c r="L12" i="18" s="1"/>
  <c r="L13" i="18" s="1"/>
  <c r="I11" i="15"/>
  <c r="I12" i="15" s="1"/>
  <c r="I13" i="15" s="1"/>
  <c r="K11" i="15"/>
  <c r="K12" i="15" s="1"/>
  <c r="K13" i="15" s="1"/>
  <c r="H11" i="18"/>
  <c r="H12" i="18" s="1"/>
  <c r="H13" i="18" s="1"/>
  <c r="K11" i="16"/>
  <c r="K12" i="16" s="1"/>
  <c r="K13" i="16" s="1"/>
  <c r="L11" i="15"/>
  <c r="L12" i="15" s="1"/>
  <c r="L13" i="15" s="1"/>
  <c r="H11" i="17"/>
  <c r="H12" i="17" s="1"/>
  <c r="H13" i="17" s="1"/>
  <c r="K11" i="17"/>
  <c r="K12" i="17" s="1"/>
  <c r="K13" i="17" s="1"/>
  <c r="L11" i="17"/>
  <c r="L12" i="17" s="1"/>
  <c r="L13" i="17" s="1"/>
  <c r="J11" i="16"/>
  <c r="J12" i="16" s="1"/>
  <c r="J13" i="16" s="1"/>
  <c r="G11" i="16"/>
  <c r="G12" i="16" s="1"/>
  <c r="G13" i="16" s="1"/>
  <c r="H11" i="15"/>
  <c r="H12" i="15" s="1"/>
  <c r="H13" i="15" s="1"/>
  <c r="K11" i="18"/>
  <c r="K12" i="18" s="1"/>
  <c r="K13" i="18" s="1"/>
  <c r="F11" i="16"/>
  <c r="F12" i="16" s="1"/>
  <c r="F11" i="15"/>
  <c r="F12" i="15" s="1"/>
  <c r="F11" i="18"/>
  <c r="F12" i="18" s="1"/>
  <c r="G11" i="17"/>
  <c r="G12" i="17" s="1"/>
  <c r="G13" i="17" s="1"/>
  <c r="I11" i="17"/>
  <c r="I12" i="17" s="1"/>
  <c r="I13" i="17" s="1"/>
  <c r="F11" i="17"/>
  <c r="F12" i="17" s="1"/>
  <c r="F12" i="7"/>
  <c r="F13" i="7" s="1"/>
  <c r="C12" i="7" l="1"/>
  <c r="C12" i="17"/>
  <c r="F13" i="17"/>
  <c r="C13" i="17" s="1"/>
  <c r="C15" i="17" s="1"/>
  <c r="J3" i="13" s="1"/>
  <c r="C12" i="15"/>
  <c r="F13" i="15"/>
  <c r="C13" i="15" s="1"/>
  <c r="C15" i="15" s="1"/>
  <c r="F3" i="13" s="1"/>
  <c r="F13" i="16"/>
  <c r="C13" i="16" s="1"/>
  <c r="C15" i="16" s="1"/>
  <c r="H3" i="13" s="1"/>
  <c r="C12" i="16"/>
  <c r="C13" i="7"/>
  <c r="C15" i="7" s="1"/>
  <c r="C4" i="14" s="1"/>
  <c r="F13" i="8"/>
  <c r="C13" i="8" s="1"/>
  <c r="C15" i="8" s="1"/>
  <c r="D3" i="13" s="1"/>
  <c r="C12" i="8"/>
  <c r="F13" i="18"/>
  <c r="C13" i="18" s="1"/>
  <c r="C15" i="18" s="1"/>
  <c r="L3" i="13" s="1"/>
  <c r="C12" i="18"/>
  <c r="M4" i="13" l="1"/>
  <c r="M6" i="13"/>
  <c r="M5" i="13"/>
  <c r="M3" i="13"/>
  <c r="K3" i="13"/>
  <c r="K6" i="13"/>
  <c r="K4" i="13"/>
  <c r="K5" i="13"/>
  <c r="I6" i="13"/>
  <c r="I4" i="13"/>
  <c r="I5" i="13"/>
  <c r="I3" i="13"/>
  <c r="G6" i="13"/>
  <c r="G3" i="13"/>
  <c r="G5" i="13"/>
  <c r="G4" i="13"/>
  <c r="E5" i="13"/>
  <c r="E6" i="13"/>
  <c r="E3" i="13"/>
  <c r="E4" i="13"/>
  <c r="B3" i="13"/>
  <c r="C3" i="13" l="1"/>
  <c r="C4" i="13"/>
  <c r="C5" i="13"/>
  <c r="C6" i="13"/>
  <c r="N3" i="13"/>
  <c r="O3" i="13" l="1"/>
  <c r="D4" i="14" s="1"/>
  <c r="O4" i="13"/>
  <c r="D5" i="14" s="1"/>
  <c r="O5" i="13"/>
  <c r="D6" i="14" s="1"/>
  <c r="O6" i="13"/>
  <c r="D7" i="14" s="1"/>
</calcChain>
</file>

<file path=xl/sharedStrings.xml><?xml version="1.0" encoding="utf-8"?>
<sst xmlns="http://schemas.openxmlformats.org/spreadsheetml/2006/main" count="269" uniqueCount="54">
  <si>
    <t>Weighted Cost of EUSE</t>
  </si>
  <si>
    <t>Capital</t>
  </si>
  <si>
    <t>Operational</t>
  </si>
  <si>
    <t>Discount Rate</t>
  </si>
  <si>
    <t>Option 2</t>
  </si>
  <si>
    <t>Option 3</t>
  </si>
  <si>
    <t>Option 4</t>
  </si>
  <si>
    <t>Year</t>
  </si>
  <si>
    <t>Do Nothing</t>
  </si>
  <si>
    <t>Benefits</t>
  </si>
  <si>
    <t>Costs</t>
  </si>
  <si>
    <t>Net Economic Benefit</t>
  </si>
  <si>
    <t>VCR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</si>
  <si>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</si>
  <si>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</si>
  <si>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</si>
  <si>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</si>
  <si>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</si>
  <si>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</si>
  <si>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</si>
  <si>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</si>
  <si>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</si>
  <si>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Average Net Economic benefit ($)</t>
  </si>
  <si>
    <t>Overall Rank of Feasible Options</t>
  </si>
  <si>
    <t>Inflation Rate</t>
  </si>
  <si>
    <t>Augmentation option</t>
  </si>
  <si>
    <t>Project ranking</t>
  </si>
  <si>
    <t>Table 8-2: Market benefits of augmentation options relative to the base case</t>
  </si>
  <si>
    <t>yes</t>
  </si>
  <si>
    <t>Include Option in Ranking?</t>
  </si>
  <si>
    <t>Base Case - Do Nothing</t>
  </si>
  <si>
    <t>Option 1 - Reconductor the 66kV loop with higher capacity conductor in 2019</t>
  </si>
  <si>
    <t>Option 2 - Install a new KTS-MAT 66kV line to form a four legged 66kV loop in 2019</t>
  </si>
  <si>
    <t>O&amp;M cost</t>
  </si>
  <si>
    <t>Option 1</t>
  </si>
  <si>
    <t>Real $2017</t>
  </si>
  <si>
    <t xml:space="preserve">Option costs </t>
  </si>
  <si>
    <t>$2017 Real</t>
  </si>
  <si>
    <t>Weighted EUSE (MWh)</t>
  </si>
  <si>
    <t>Option costs</t>
  </si>
  <si>
    <t xml:space="preserve"> $2017 Real</t>
  </si>
  <si>
    <t>Cost Sensitivity</t>
  </si>
  <si>
    <t>Note:  Option 4 addresses KTS-TMA-MAT EUSE but AW-PV becomes two legged loop making things  worse during KTS-AW outage. Hence the NPV is -ve for this option</t>
  </si>
  <si>
    <t>Total lifecycle project cost (2017-2032) ($M, real 2017)</t>
  </si>
  <si>
    <t>N/A</t>
  </si>
  <si>
    <t>NPV of net economic benefit (2017-2032 ) $M</t>
  </si>
  <si>
    <t>Base case ( Do nothing) EUSE</t>
  </si>
  <si>
    <t>Annualised benefits after implementation of Option 3 ($)</t>
  </si>
  <si>
    <t>Annualised benefits after implementation of Option 3 ($M)</t>
  </si>
  <si>
    <t>Annualised cost for Option 3 ($)</t>
  </si>
  <si>
    <t>Annualised cost for Option 3 ($M)</t>
  </si>
  <si>
    <t>PV cost (Capital and Operational) $</t>
  </si>
  <si>
    <t>Option 3 - Split the existing 66kV loop by installing one additional 66kV line in 2019</t>
  </si>
  <si>
    <t>Option 4 - Split the existing 66kV loop by installing two additional 66kV lines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</si>
</sst>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"/>
    <numFmt numFmtId="167" formatCode="_-&quot;$&quot;* #,##0.0_-;\-&quot;$&quot;* #,##0.0_-;_-&quot;$&quot;* &quot;-&quot;??_-;_-@_-"/>
    <numFmt numFmtId="168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0" fontId="0" fillId="0" borderId="0" xfId="0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1" xfId="0" applyNumberFormat="1" applyBorder="1"/>
    <xf numFmtId="0" fontId="0" fillId="0" borderId="1" xfId="0" applyBorder="1"/>
    <xf numFmtId="6" fontId="0" fillId="0" borderId="8" xfId="0" applyNumberFormat="1" applyBorder="1"/>
    <xf numFmtId="6" fontId="0" fillId="0" borderId="7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6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6" fontId="0" fillId="0" borderId="0" xfId="0" applyNumberFormat="1" applyFont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8" fontId="3" fillId="0" borderId="0" xfId="0" applyNumberFormat="1" applyFont="1" applyBorder="1"/>
    <xf numFmtId="165" fontId="0" fillId="3" borderId="0" xfId="0" applyNumberFormat="1" applyFont="1" applyFill="1"/>
    <xf numFmtId="0" fontId="3" fillId="4" borderId="0" xfId="0" applyFont="1" applyFill="1" applyBorder="1" applyAlignment="1">
      <alignment horizontal="right"/>
    </xf>
    <xf numFmtId="165" fontId="3" fillId="4" borderId="0" xfId="0" applyNumberFormat="1" applyFont="1" applyFill="1"/>
    <xf numFmtId="165" fontId="0" fillId="4" borderId="0" xfId="0" applyNumberFormat="1" applyFont="1" applyFill="1"/>
    <xf numFmtId="0" fontId="3" fillId="4" borderId="0" xfId="0" applyFont="1" applyFill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6" fontId="0" fillId="0" borderId="8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6" fontId="0" fillId="0" borderId="0" xfId="0" applyNumberFormat="1" applyFill="1"/>
    <xf numFmtId="0" fontId="0" fillId="0" borderId="0" xfId="0" applyFont="1" applyAlignment="1"/>
    <xf numFmtId="165" fontId="0" fillId="0" borderId="0" xfId="0" applyNumberFormat="1" applyFont="1" applyAlignment="1">
      <alignment vertical="center" wrapText="1"/>
    </xf>
    <xf numFmtId="166" fontId="0" fillId="0" borderId="0" xfId="0" applyNumberFormat="1" applyFont="1" applyFill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165" fontId="0" fillId="0" borderId="0" xfId="0" applyNumberFormat="1"/>
    <xf numFmtId="165" fontId="6" fillId="0" borderId="0" xfId="0" applyNumberFormat="1" applyFont="1"/>
    <xf numFmtId="0" fontId="2" fillId="0" borderId="4" xfId="0" applyFont="1" applyBorder="1"/>
    <xf numFmtId="8" fontId="0" fillId="0" borderId="1" xfId="0" applyNumberFormat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168" fontId="0" fillId="0" borderId="0" xfId="0" applyNumberFormat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68" fontId="0" fillId="0" borderId="0" xfId="0" applyNumberFormat="1" applyFill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Optimal timing</a:t>
            </a:r>
            <a:r>
              <a:rPr lang="en-AU" baseline="0"/>
              <a:t> to implement Option 3</a:t>
            </a:r>
            <a:endParaRPr lang="en-AU"/>
          </a:p>
        </c:rich>
      </c:tx>
      <c:layout>
        <c:manualLayout>
          <c:xMode val="edge"/>
          <c:yMode val="edge"/>
          <c:x val="0.2570643356341285"/>
          <c:y val="4.2804261232051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v>Annualised cost for Option 3</c:v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timing'!$B$9:$P$9</c:f>
              <c:numCache>
                <c:formatCode>_-"$"* #,##0.0_-;\-"$"* #,##0.0_-;_-"$"* "-"??_-;_-@_-</c:formatCode>
                <c:ptCount val="15"/>
                <c:pt idx="0">
                  <c:v>0.40306468644102245</c:v>
                </c:pt>
                <c:pt idx="1">
                  <c:v>0.40306468644102245</c:v>
                </c:pt>
                <c:pt idx="2">
                  <c:v>0.40306468644102245</c:v>
                </c:pt>
                <c:pt idx="3">
                  <c:v>0.40306468644102245</c:v>
                </c:pt>
                <c:pt idx="4">
                  <c:v>0.40306468644102245</c:v>
                </c:pt>
                <c:pt idx="5">
                  <c:v>0.40306468644102245</c:v>
                </c:pt>
                <c:pt idx="6">
                  <c:v>0.40306468644102245</c:v>
                </c:pt>
                <c:pt idx="7">
                  <c:v>0.40306468644102245</c:v>
                </c:pt>
                <c:pt idx="8">
                  <c:v>0.40306468644102245</c:v>
                </c:pt>
                <c:pt idx="9">
                  <c:v>0.40306468644102245</c:v>
                </c:pt>
                <c:pt idx="10">
                  <c:v>0.40306468644102245</c:v>
                </c:pt>
                <c:pt idx="11">
                  <c:v>0.40306468644102245</c:v>
                </c:pt>
                <c:pt idx="12">
                  <c:v>0.40306468644102245</c:v>
                </c:pt>
                <c:pt idx="13">
                  <c:v>0.40306468644102245</c:v>
                </c:pt>
                <c:pt idx="14">
                  <c:v>0.40306468644102245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5-4B92-8031-C8CBBC68662A}"/>
            </c:ext>
          </c:extLst>
        </c:ser>
        <c:ser>
          <c:idx val="3"/>
          <c:order val="1"/>
          <c:tx>
            <c:v>Annualised Economic benefits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'Opt 3 - Economic timing'!$B$4:$P$4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xVal>
          <c:yVal>
            <c:numRef>
              <c:f>'Opt 3 - Economic timing'!$B$7:$P$7</c:f>
              <c:numCache>
                <c:formatCode>"$"#,##0.00_);[Red]\("$"#,##0.00\)</c:formatCode>
                <c:ptCount val="15"/>
                <c:pt idx="0">
                  <c:v>-0.30024527462176076</c:v>
                </c:pt>
                <c:pt idx="1">
                  <c:v>-2.4145805917877823</c:v>
                </c:pt>
                <c:pt idx="2">
                  <c:v>10.509330984639179</c:v>
                </c:pt>
                <c:pt idx="3">
                  <c:v>21.635078328279779</c:v>
                </c:pt>
                <c:pt idx="4">
                  <c:v>26.086640486021142</c:v>
                </c:pt>
                <c:pt idx="5">
                  <c:v>33.786780401333644</c:v>
                </c:pt>
                <c:pt idx="6">
                  <c:v>38.633973808793648</c:v>
                </c:pt>
                <c:pt idx="7">
                  <c:v>52.442966177926273</c:v>
                </c:pt>
                <c:pt idx="8">
                  <c:v>63.956927678132921</c:v>
                </c:pt>
                <c:pt idx="9">
                  <c:v>63.956927678132921</c:v>
                </c:pt>
                <c:pt idx="10">
                  <c:v>63.956927678132921</c:v>
                </c:pt>
                <c:pt idx="11">
                  <c:v>63.956927678132921</c:v>
                </c:pt>
                <c:pt idx="12">
                  <c:v>63.956927678132921</c:v>
                </c:pt>
                <c:pt idx="13">
                  <c:v>63.956927678132921</c:v>
                </c:pt>
                <c:pt idx="14">
                  <c:v>63.956927678132921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5-4B92-8031-C8CBBC686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446976"/>
        <c:axId val="232449152"/>
      </c:scatterChart>
      <c:valAx>
        <c:axId val="232446976"/>
        <c:scaling>
          <c:orientation val="minMax"/>
          <c:max val="2032"/>
          <c:min val="201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2449152"/>
        <c:crosses val="autoZero"/>
        <c:crossBetween val="midCat"/>
        <c:majorUnit val="1"/>
      </c:valAx>
      <c:valAx>
        <c:axId val="232449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overlay val="0"/>
        </c:title>
        <c:numFmt formatCode="_-&quot;$&quot;* #,##0.0_-;\-&quot;$&quot;* #,##0.0_-;_-&quot;$&quot;* &quot;-&quot;??_-;_-@_-" sourceLinked="1"/>
        <c:majorTickMark val="out"/>
        <c:minorTickMark val="none"/>
        <c:tickLblPos val="nextTo"/>
        <c:crossAx val="232446976"/>
        <c:crosses val="autoZero"/>
        <c:crossBetween val="midCat"/>
        <c:minorUnit val="2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380998</xdr:colOff>
      <xdr:row>11</xdr:row>
      <xdr:rowOff>85725</xdr:rowOff>
    </xdr:from>
    <xdr:to>
      <xdr:col>9</xdr:col>
      <xdr:colOff>628649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A10" sqref="A10"/>
    </sheetView>
  </sheetViews>
  <sheetFormatPr defaultRowHeight="14.4" x14ac:dyDescent="0.3"/>
  <cols>
    <col min="1" max="1" width="44.44140625" customWidth="1"/>
    <col min="2" max="2" width="11" customWidth="1"/>
    <col min="3" max="3" width="14" customWidth="1"/>
    <col min="4" max="4" width="11" customWidth="1"/>
    <col min="5" max="5" width="12.6640625" customWidth="1"/>
  </cols>
  <sheetData>
    <row r="1" spans="1:5" ht="15" thickBot="1" x14ac:dyDescent="0.35">
      <c r="A1" s="21" t="s">
        <v>27</v>
      </c>
    </row>
    <row r="2" spans="1:5" ht="72.599999999999994" thickBot="1" x14ac:dyDescent="0.35">
      <c r="A2" s="58" t="s">
        <v>25</v>
      </c>
      <c r="B2" s="63" t="s">
        <v>43</v>
      </c>
      <c r="C2" s="59" t="s">
        <v>45</v>
      </c>
      <c r="D2" s="59" t="s">
        <v>26</v>
      </c>
    </row>
    <row r="3" spans="1:5" ht="15" thickBot="1" x14ac:dyDescent="0.35">
      <c r="A3" s="60" t="s">
        <v>30</v>
      </c>
      <c r="B3" s="64"/>
      <c r="C3" s="62"/>
      <c r="D3" s="61" t="s">
        <v>44</v>
      </c>
      <c r="E3" s="2"/>
    </row>
    <row r="4" spans="1:5" ht="23.4" thickBot="1" x14ac:dyDescent="0.35">
      <c r="A4" s="60" t="s">
        <v>31</v>
      </c>
      <c r="B4" s="64">
        <f>'Option Costs'!B30/1000000</f>
        <v>13.084</v>
      </c>
      <c r="C4" s="62">
        <f>'Cost-Benefit (BASE)'!C15/1000000</f>
        <v>322.20958592197741</v>
      </c>
      <c r="D4" s="61">
        <f>'Sensitivity Analysis Summary'!O3</f>
        <v>2</v>
      </c>
    </row>
    <row r="5" spans="1:5" ht="23.4" thickBot="1" x14ac:dyDescent="0.35">
      <c r="A5" s="60" t="s">
        <v>32</v>
      </c>
      <c r="B5" s="64">
        <f>'Option Costs'!B31/1000000</f>
        <v>15.375999999999999</v>
      </c>
      <c r="C5" s="62">
        <f>'Cost-Benefit (BASE)'!C21/1000000</f>
        <v>321.33724671125339</v>
      </c>
      <c r="D5" s="61">
        <f>'Sensitivity Analysis Summary'!O4</f>
        <v>3</v>
      </c>
    </row>
    <row r="6" spans="1:5" ht="23.4" thickBot="1" x14ac:dyDescent="0.35">
      <c r="A6" s="60" t="s">
        <v>52</v>
      </c>
      <c r="B6" s="64">
        <f>'Option Costs'!B32/1000000</f>
        <v>5.6459999999999999</v>
      </c>
      <c r="C6" s="62">
        <f>'Cost-Benefit (BASE)'!C27/1000000</f>
        <v>282.76867197336429</v>
      </c>
      <c r="D6" s="61">
        <f>'Sensitivity Analysis Summary'!O5</f>
        <v>4</v>
      </c>
    </row>
    <row r="7" spans="1:5" ht="23.4" thickBot="1" x14ac:dyDescent="0.35">
      <c r="A7" s="60" t="s">
        <v>53</v>
      </c>
      <c r="B7" s="64">
        <f>'Option Costs'!B33/1000000</f>
        <v>10.430999999999999</v>
      </c>
      <c r="C7" s="62">
        <f>'Cost-Benefit (BASE)'!C33/1000000</f>
        <v>326.6214688802765</v>
      </c>
      <c r="D7" s="61">
        <f>'Sensitivity Analysis Summary'!O6</f>
        <v>1</v>
      </c>
    </row>
    <row r="13" spans="1:5" ht="15" thickBot="1" x14ac:dyDescent="0.35">
      <c r="A13" s="60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35" sqref="E35:F35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0.7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7.6127098027829811</v>
      </c>
      <c r="E5" s="16">
        <f>'Cost-Benefit (BASE)'!E5</f>
        <v>61.221617438838294</v>
      </c>
      <c r="F5" s="16">
        <f>'Cost-Benefit (BASE)'!F5</f>
        <v>266.46376735900554</v>
      </c>
      <c r="G5" s="16">
        <f>'Cost-Benefit (BASE)'!G5</f>
        <v>548.55675274543046</v>
      </c>
      <c r="H5" s="16">
        <f>'Cost-Benefit (BASE)'!H5</f>
        <v>661.42597581189511</v>
      </c>
      <c r="I5" s="16">
        <f>'Cost-Benefit (BASE)'!I5</f>
        <v>856.66278908046763</v>
      </c>
      <c r="J5" s="16">
        <f>'Cost-Benefit (BASE)'!J5</f>
        <v>979.56323044608644</v>
      </c>
      <c r="K5" s="16">
        <f>'Cost-Benefit (BASE)'!K5</f>
        <v>1329.6898118135464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342616072.88648283</v>
      </c>
      <c r="D6" s="3">
        <f>D5*$B$1</f>
        <v>300245.27462176076</v>
      </c>
      <c r="E6" s="3">
        <f t="shared" ref="E6:R6" si="0">E5*$B$1</f>
        <v>2414580.5917877825</v>
      </c>
      <c r="F6" s="3">
        <f t="shared" si="0"/>
        <v>10509330.984639179</v>
      </c>
      <c r="G6" s="3">
        <f t="shared" si="0"/>
        <v>21635078.328279778</v>
      </c>
      <c r="H6" s="3">
        <f t="shared" si="0"/>
        <v>26086640.486021142</v>
      </c>
      <c r="I6" s="3">
        <f t="shared" si="0"/>
        <v>33786780.401333645</v>
      </c>
      <c r="J6" s="3">
        <f t="shared" si="0"/>
        <v>38633973.808793649</v>
      </c>
      <c r="K6" s="3">
        <f t="shared" si="0"/>
        <v>52442966.177926272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-342616072.88648283</v>
      </c>
      <c r="D7" s="4">
        <f>0-D6</f>
        <v>-300245.27462176076</v>
      </c>
      <c r="E7" s="4">
        <f t="shared" ref="E7:R7" si="2">0-E6</f>
        <v>-2414580.5917877825</v>
      </c>
      <c r="F7" s="4">
        <f t="shared" si="2"/>
        <v>-10509330.984639179</v>
      </c>
      <c r="G7" s="4">
        <f t="shared" si="2"/>
        <v>-21635078.328279778</v>
      </c>
      <c r="H7" s="4">
        <f t="shared" si="2"/>
        <v>-26086640.486021142</v>
      </c>
      <c r="I7" s="4">
        <f t="shared" si="2"/>
        <v>-33786780.401333645</v>
      </c>
      <c r="J7" s="4">
        <f t="shared" si="2"/>
        <v>-38633973.808793649</v>
      </c>
      <c r="K7" s="4">
        <f t="shared" si="2"/>
        <v>-52442966.177926272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-342616072.88648283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7.6127098027829811</v>
      </c>
      <c r="E11" s="16">
        <f>'Cost-Benefit (BASE)'!E11</f>
        <v>61.221617438838294</v>
      </c>
      <c r="F11" s="16">
        <f>'Cost-Benefit (BASE)'!F11</f>
        <v>1.0864178647283446E-2</v>
      </c>
      <c r="G11" s="16">
        <f>'Cost-Benefit (BASE)'!G11</f>
        <v>3.1785664937107994E-2</v>
      </c>
      <c r="H11" s="16">
        <f>'Cost-Benefit (BASE)'!H11</f>
        <v>4.4041428079019604E-2</v>
      </c>
      <c r="I11" s="16">
        <f>'Cost-Benefit (BASE)'!I11</f>
        <v>0.85906767601933787</v>
      </c>
      <c r="J11" s="16">
        <f>'Cost-Benefit (BASE)'!J11</f>
        <v>2.3244670348420327</v>
      </c>
      <c r="K11" s="16">
        <f>'Cost-Benefit (BASE)'!K11</f>
        <v>6.7993708357099534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3995538.1942940494</v>
      </c>
      <c r="D12" s="3">
        <f>D11*$B$1</f>
        <v>300245.27462176076</v>
      </c>
      <c r="E12" s="3">
        <f t="shared" ref="E12:R12" si="3">E11*$B$1</f>
        <v>2414580.5917877825</v>
      </c>
      <c r="F12" s="3">
        <f t="shared" si="3"/>
        <v>428.48320584885909</v>
      </c>
      <c r="G12" s="3">
        <f t="shared" si="3"/>
        <v>1253.6266251195393</v>
      </c>
      <c r="H12" s="3">
        <f t="shared" si="3"/>
        <v>1736.9939234365331</v>
      </c>
      <c r="I12" s="3">
        <f t="shared" si="3"/>
        <v>33881.629142202684</v>
      </c>
      <c r="J12" s="3">
        <f t="shared" si="3"/>
        <v>91676.979854169767</v>
      </c>
      <c r="K12" s="3">
        <f t="shared" si="3"/>
        <v>268167.18576040055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338620534.69218868</v>
      </c>
      <c r="D13" s="4">
        <f>D$6-D12</f>
        <v>0</v>
      </c>
      <c r="E13" s="4">
        <f t="shared" ref="E13:R13" si="5">E$6-E12</f>
        <v>0</v>
      </c>
      <c r="F13" s="4">
        <f t="shared" si="5"/>
        <v>10508902.50143333</v>
      </c>
      <c r="G13" s="4">
        <f t="shared" si="5"/>
        <v>21633824.701654658</v>
      </c>
      <c r="H13" s="4">
        <f t="shared" si="5"/>
        <v>26084903.492097706</v>
      </c>
      <c r="I13" s="4">
        <f t="shared" si="5"/>
        <v>33752898.772191443</v>
      </c>
      <c r="J13" s="4">
        <f t="shared" si="5"/>
        <v>38542296.828939483</v>
      </c>
      <c r="K13" s="4">
        <f t="shared" si="5"/>
        <v>52174798.992165871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9796247.7828880232</v>
      </c>
      <c r="D14" s="3">
        <f>'Option Costs'!C7*$B$3</f>
        <v>0</v>
      </c>
      <c r="E14" s="3">
        <f>'Option Costs'!D7*$B$3</f>
        <v>9622464.2499999963</v>
      </c>
      <c r="F14" s="3">
        <f>'Option Costs'!E7*$B$3</f>
        <v>147945.38784374995</v>
      </c>
      <c r="G14" s="3">
        <f>'Option Costs'!F7*$B$3</f>
        <v>151644.02253984369</v>
      </c>
      <c r="H14" s="3">
        <f>'Option Costs'!G7*$B$3</f>
        <v>155435.12310333975</v>
      </c>
      <c r="I14" s="3">
        <f>'Option Costs'!H7*$B$3</f>
        <v>159321.00118092322</v>
      </c>
      <c r="J14" s="3">
        <f>'Option Costs'!I7*$B$3</f>
        <v>163304.02621044629</v>
      </c>
      <c r="K14" s="3">
        <f>'Option Costs'!J7*$B$3</f>
        <v>167386.62686570743</v>
      </c>
      <c r="L14" s="3">
        <f>'Option Costs'!K7*$B$3</f>
        <v>171571.29253735009</v>
      </c>
      <c r="M14" s="3">
        <f>'Option Costs'!L7*$B$3</f>
        <v>175860.57485078383</v>
      </c>
      <c r="N14" s="3">
        <f>'Option Costs'!M7*$B$3</f>
        <v>180257.08922205342</v>
      </c>
      <c r="O14" s="3">
        <f>'Option Costs'!N7*$B$3</f>
        <v>184763.51645260473</v>
      </c>
      <c r="P14" s="3">
        <f>'Option Costs'!O7*$B$3</f>
        <v>189382.60436391985</v>
      </c>
      <c r="Q14" s="3">
        <f>'Option Costs'!P7*$B$3</f>
        <v>194117.16947301783</v>
      </c>
      <c r="R14" s="3">
        <f>'Option Costs'!Q7*$B$3</f>
        <v>198970.09870984324</v>
      </c>
    </row>
    <row r="15" spans="1:18" x14ac:dyDescent="0.3">
      <c r="A15" s="1" t="s">
        <v>11</v>
      </c>
      <c r="C15" s="4">
        <f>C13-C14</f>
        <v>328824286.90930068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7.6127098027829811</v>
      </c>
      <c r="E17" s="16">
        <f>'Cost-Benefit (BASE)'!E17</f>
        <v>61.221617438838294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2416354.1611130559</v>
      </c>
      <c r="D18" s="3">
        <f>D17*$B$1</f>
        <v>300245.27462176076</v>
      </c>
      <c r="E18" s="3">
        <f t="shared" ref="E18:R18" si="6">E17*$B$1</f>
        <v>2414580.5917877825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340199718.72536975</v>
      </c>
      <c r="D19" s="4">
        <f>D$6-D18</f>
        <v>0</v>
      </c>
      <c r="E19" s="4">
        <f t="shared" ref="E19:R19" si="8">E$6-E18</f>
        <v>0</v>
      </c>
      <c r="F19" s="4">
        <f t="shared" si="8"/>
        <v>10509330.984639179</v>
      </c>
      <c r="G19" s="4">
        <f t="shared" si="8"/>
        <v>21635078.328279778</v>
      </c>
      <c r="H19" s="4">
        <f t="shared" si="8"/>
        <v>26086640.486021142</v>
      </c>
      <c r="I19" s="4">
        <f t="shared" si="8"/>
        <v>33786780.401333645</v>
      </c>
      <c r="J19" s="4">
        <f t="shared" si="8"/>
        <v>38633973.808793649</v>
      </c>
      <c r="K19" s="4">
        <f t="shared" si="8"/>
        <v>52442966.177926272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11512314.05362157</v>
      </c>
      <c r="D20" s="3">
        <f>'Option Costs'!C11*$B$3</f>
        <v>0</v>
      </c>
      <c r="E20" s="3">
        <f>'Option Costs'!D11*$B$3</f>
        <v>11308086.999999996</v>
      </c>
      <c r="F20" s="3">
        <f>'Option Costs'!E11*$B$3</f>
        <v>173861.83762499993</v>
      </c>
      <c r="G20" s="3">
        <f>'Option Costs'!F11*$B$3</f>
        <v>178208.38356562488</v>
      </c>
      <c r="H20" s="3">
        <f>'Option Costs'!G11*$B$3</f>
        <v>182663.59315476549</v>
      </c>
      <c r="I20" s="3">
        <f>'Option Costs'!H11*$B$3</f>
        <v>187230.18298363462</v>
      </c>
      <c r="J20" s="3">
        <f>'Option Costs'!I11*$B$3</f>
        <v>191910.93755822544</v>
      </c>
      <c r="K20" s="3">
        <f>'Option Costs'!J11*$B$3</f>
        <v>196708.71099718107</v>
      </c>
      <c r="L20" s="3">
        <f>'Option Costs'!K11*$B$3</f>
        <v>201626.42877211055</v>
      </c>
      <c r="M20" s="3">
        <f>'Option Costs'!L11*$B$3</f>
        <v>206667.08949141332</v>
      </c>
      <c r="N20" s="3">
        <f>'Option Costs'!M11*$B$3</f>
        <v>211833.76672869863</v>
      </c>
      <c r="O20" s="3">
        <f>'Option Costs'!N11*$B$3</f>
        <v>217129.6108969161</v>
      </c>
      <c r="P20" s="3">
        <f>'Option Costs'!O11*$B$3</f>
        <v>222557.85116933897</v>
      </c>
      <c r="Q20" s="3">
        <f>'Option Costs'!P11*$B$3</f>
        <v>228122.49744857245</v>
      </c>
      <c r="R20" s="3">
        <f>'Option Costs'!Q11*$B$3</f>
        <v>233826.25314728677</v>
      </c>
    </row>
    <row r="21" spans="1:18" x14ac:dyDescent="0.3">
      <c r="A21" s="1" t="s">
        <v>11</v>
      </c>
      <c r="C21" s="4">
        <f>C19-C20</f>
        <v>328687404.67174816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7.6127098027829811</v>
      </c>
      <c r="E23" s="16">
        <f>'Cost-Benefit (BASE)'!E23</f>
        <v>61.221617438838294</v>
      </c>
      <c r="F23" s="16">
        <f>'Cost-Benefit (BASE)'!F23</f>
        <v>55.84821669014277</v>
      </c>
      <c r="G23" s="16">
        <f>'Cost-Benefit (BASE)'!G23</f>
        <v>44.463819225809502</v>
      </c>
      <c r="H23" s="16">
        <f>'Cost-Benefit (BASE)'!H23</f>
        <v>69.432552373413429</v>
      </c>
      <c r="I23" s="16">
        <f>'Cost-Benefit (BASE)'!I23</f>
        <v>107.34049657508233</v>
      </c>
      <c r="J23" s="16">
        <f>'Cost-Benefit (BASE)'!J23</f>
        <v>135.35714233430463</v>
      </c>
      <c r="K23" s="16">
        <f>'Cost-Benefit (BASE)'!K23</f>
        <v>231.77105564151572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51392133.1283115</v>
      </c>
      <c r="D24" s="3">
        <f>D23*$B$1</f>
        <v>300245.27462176076</v>
      </c>
      <c r="E24" s="3">
        <f t="shared" ref="E24:R24" si="9">E23*$B$1</f>
        <v>2414580.5917877825</v>
      </c>
      <c r="F24" s="3">
        <f t="shared" si="9"/>
        <v>2202653.666259231</v>
      </c>
      <c r="G24" s="3">
        <f t="shared" si="9"/>
        <v>1753653.0302659268</v>
      </c>
      <c r="H24" s="3">
        <f t="shared" si="9"/>
        <v>2738419.8656074256</v>
      </c>
      <c r="I24" s="3">
        <f t="shared" si="9"/>
        <v>4233509.184921247</v>
      </c>
      <c r="J24" s="3">
        <f t="shared" si="9"/>
        <v>5338485.6936649745</v>
      </c>
      <c r="K24" s="3">
        <f t="shared" si="9"/>
        <v>9141050.4345013797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291223939.75817126</v>
      </c>
      <c r="D25" s="4">
        <f>D$6-D24</f>
        <v>0</v>
      </c>
      <c r="E25" s="4">
        <f t="shared" ref="E25:R25" si="11">E$6-E24</f>
        <v>0</v>
      </c>
      <c r="F25" s="4">
        <f t="shared" si="11"/>
        <v>8306677.3183799479</v>
      </c>
      <c r="G25" s="4">
        <f t="shared" si="11"/>
        <v>19881425.298013851</v>
      </c>
      <c r="H25" s="4">
        <f t="shared" si="11"/>
        <v>23348220.620413717</v>
      </c>
      <c r="I25" s="4">
        <f t="shared" si="11"/>
        <v>29553271.216412399</v>
      </c>
      <c r="J25" s="4">
        <f t="shared" si="11"/>
        <v>33295488.115128674</v>
      </c>
      <c r="K25" s="4">
        <f t="shared" si="11"/>
        <v>43301915.743424892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4227271.0931049967</v>
      </c>
      <c r="D26" s="3">
        <f>'Option Costs'!C15*$B$3</f>
        <v>0</v>
      </c>
      <c r="E26" s="3">
        <f>'Option Costs'!D15*$B$3</f>
        <v>4152280.1249999986</v>
      </c>
      <c r="F26" s="3">
        <f>'Option Costs'!E15*$B$3</f>
        <v>63841.306921874966</v>
      </c>
      <c r="G26" s="3">
        <f>'Option Costs'!F15*$B$3</f>
        <v>65437.339594921832</v>
      </c>
      <c r="H26" s="3">
        <f>'Option Costs'!G15*$B$3</f>
        <v>67073.273084794884</v>
      </c>
      <c r="I26" s="3">
        <f>'Option Costs'!H15*$B$3</f>
        <v>68750.10491191475</v>
      </c>
      <c r="J26" s="3">
        <f>'Option Costs'!I15*$B$3</f>
        <v>70468.857534712603</v>
      </c>
      <c r="K26" s="3">
        <f>'Option Costs'!J15*$B$3</f>
        <v>72230.57897308041</v>
      </c>
      <c r="L26" s="3">
        <f>'Option Costs'!K15*$B$3</f>
        <v>74036.343447407417</v>
      </c>
      <c r="M26" s="3">
        <f>'Option Costs'!L15*$B$3</f>
        <v>75887.252033592595</v>
      </c>
      <c r="N26" s="3">
        <f>'Option Costs'!M15*$B$3</f>
        <v>77784.433334432411</v>
      </c>
      <c r="O26" s="3">
        <f>'Option Costs'!N15*$B$3</f>
        <v>79729.04416779321</v>
      </c>
      <c r="P26" s="3">
        <f>'Option Costs'!O15*$B$3</f>
        <v>81722.270271988033</v>
      </c>
      <c r="Q26" s="3">
        <f>'Option Costs'!P15*$B$3</f>
        <v>83765.327028787739</v>
      </c>
      <c r="R26" s="3">
        <f>'Option Costs'!Q15*$B$3</f>
        <v>85859.460204507428</v>
      </c>
    </row>
    <row r="27" spans="1:18" x14ac:dyDescent="0.3">
      <c r="A27" s="1" t="s">
        <v>11</v>
      </c>
      <c r="C27" s="4">
        <f>C25-C26</f>
        <v>286996668.66506624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7.6127098027829811</v>
      </c>
      <c r="E29" s="16">
        <f>'Cost-Benefit (BASE)'!E29</f>
        <v>61.221617438838294</v>
      </c>
      <c r="F29" s="16">
        <f>'Cost-Benefit (BASE)'!F29</f>
        <v>0</v>
      </c>
      <c r="G29" s="16">
        <f>'Cost-Benefit (BASE)'!G29</f>
        <v>6.8524319604007754E-3</v>
      </c>
      <c r="H29" s="16">
        <f>'Cost-Benefit (BASE)'!H29</f>
        <v>9.551225714358038E-3</v>
      </c>
      <c r="I29" s="16">
        <f>'Cost-Benefit (BASE)'!I29</f>
        <v>9.1869027932518811E-3</v>
      </c>
      <c r="J29" s="16">
        <f>'Cost-Benefit (BASE)'!J29</f>
        <v>1.288216001050644E-2</v>
      </c>
      <c r="K29" s="16">
        <f>'Cost-Benefit (BASE)'!K29</f>
        <v>2.0968841252468871E-2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2421302.6753977537</v>
      </c>
      <c r="D30" s="3">
        <f>D29*$B$1</f>
        <v>300245.27462176076</v>
      </c>
      <c r="E30" s="3">
        <f t="shared" ref="E30:R30" si="12">E29*$B$1</f>
        <v>2414580.5917877825</v>
      </c>
      <c r="F30" s="3">
        <f t="shared" si="12"/>
        <v>0</v>
      </c>
      <c r="G30" s="3">
        <f t="shared" si="12"/>
        <v>270.25991651820658</v>
      </c>
      <c r="H30" s="3">
        <f t="shared" si="12"/>
        <v>376.70034217428099</v>
      </c>
      <c r="I30" s="3">
        <f t="shared" si="12"/>
        <v>362.33144616585417</v>
      </c>
      <c r="J30" s="3">
        <f t="shared" si="12"/>
        <v>508.07239081437399</v>
      </c>
      <c r="K30" s="3">
        <f t="shared" si="12"/>
        <v>827.0110989973723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340194770.21108508</v>
      </c>
      <c r="D31" s="4">
        <f>D$6-D30</f>
        <v>0</v>
      </c>
      <c r="E31" s="4">
        <f t="shared" ref="E31:R31" si="14">E$6-E30</f>
        <v>0</v>
      </c>
      <c r="F31" s="4">
        <f t="shared" si="14"/>
        <v>10509330.984639179</v>
      </c>
      <c r="G31" s="4">
        <f t="shared" si="14"/>
        <v>21634808.06836326</v>
      </c>
      <c r="H31" s="4">
        <f t="shared" si="14"/>
        <v>26086263.785678968</v>
      </c>
      <c r="I31" s="4">
        <f t="shared" si="14"/>
        <v>33786418.069887482</v>
      </c>
      <c r="J31" s="4">
        <f t="shared" si="14"/>
        <v>38633465.736402832</v>
      </c>
      <c r="K31" s="4">
        <f t="shared" si="14"/>
        <v>52442139.166827276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7809894.5753060961</v>
      </c>
      <c r="D32" s="3">
        <f>'Option Costs'!C19*$B$3</f>
        <v>0</v>
      </c>
      <c r="E32" s="3">
        <f>'Option Costs'!D19*$B$3</f>
        <v>7671348.5624999981</v>
      </c>
      <c r="F32" s="3">
        <f>'Option Costs'!E19*$B$3</f>
        <v>117946.98414843746</v>
      </c>
      <c r="G32" s="3">
        <f>'Option Costs'!F19*$B$3</f>
        <v>120895.65875214837</v>
      </c>
      <c r="H32" s="3">
        <f>'Option Costs'!G19*$B$3</f>
        <v>123918.05022095206</v>
      </c>
      <c r="I32" s="3">
        <f>'Option Costs'!H19*$B$3</f>
        <v>127016.00147647585</v>
      </c>
      <c r="J32" s="3">
        <f>'Option Costs'!I19*$B$3</f>
        <v>130191.40151338774</v>
      </c>
      <c r="K32" s="3">
        <f>'Option Costs'!J19*$B$3</f>
        <v>133446.18655122243</v>
      </c>
      <c r="L32" s="3">
        <f>'Option Costs'!K19*$B$3</f>
        <v>136782.34121500296</v>
      </c>
      <c r="M32" s="3">
        <f>'Option Costs'!L19*$B$3</f>
        <v>140201.89974537803</v>
      </c>
      <c r="N32" s="3">
        <f>'Option Costs'!M19*$B$3</f>
        <v>143706.94723901246</v>
      </c>
      <c r="O32" s="3">
        <f>'Option Costs'!N19*$B$3</f>
        <v>147299.62091998776</v>
      </c>
      <c r="P32" s="3">
        <f>'Option Costs'!O19*$B$3</f>
        <v>150982.11144298746</v>
      </c>
      <c r="Q32" s="3">
        <f>'Option Costs'!P19*$B$3</f>
        <v>154756.66422906212</v>
      </c>
      <c r="R32" s="3">
        <f>'Option Costs'!Q19*$B$3</f>
        <v>158625.58083478868</v>
      </c>
    </row>
    <row r="33" spans="1:18" x14ac:dyDescent="0.3">
      <c r="A33" s="1" t="s">
        <v>11</v>
      </c>
      <c r="C33" s="4">
        <f>C31-C32</f>
        <v>332384875.63577896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4" sqref="F24"/>
    </sheetView>
  </sheetViews>
  <sheetFormatPr defaultRowHeight="14.4" x14ac:dyDescent="0.3"/>
  <cols>
    <col min="1" max="1" width="14.33203125" style="21" bestFit="1" customWidth="1"/>
    <col min="2" max="2" width="30.33203125" bestFit="1" customWidth="1"/>
    <col min="3" max="3" width="7.44140625" bestFit="1" customWidth="1"/>
    <col min="4" max="4" width="30.33203125" bestFit="1" customWidth="1"/>
    <col min="5" max="5" width="7.44140625" bestFit="1" customWidth="1"/>
    <col min="6" max="6" width="30.33203125" bestFit="1" customWidth="1"/>
    <col min="7" max="7" width="7.44140625" bestFit="1" customWidth="1"/>
    <col min="8" max="8" width="30.33203125" bestFit="1" customWidth="1"/>
    <col min="9" max="9" width="7.44140625" bestFit="1" customWidth="1"/>
    <col min="10" max="10" width="30.33203125" bestFit="1" customWidth="1"/>
    <col min="11" max="11" width="7.44140625" bestFit="1" customWidth="1"/>
    <col min="12" max="12" width="30.33203125" bestFit="1" customWidth="1"/>
    <col min="13" max="13" width="7.44140625" bestFit="1" customWidth="1"/>
    <col min="14" max="14" width="22" customWidth="1"/>
    <col min="15" max="15" width="21.33203125" customWidth="1"/>
    <col min="16" max="16" width="15.5546875" customWidth="1"/>
  </cols>
  <sheetData>
    <row r="1" spans="1:16" s="21" customFormat="1" x14ac:dyDescent="0.3">
      <c r="A1" s="84" t="s">
        <v>13</v>
      </c>
      <c r="B1" s="27" t="s">
        <v>14</v>
      </c>
      <c r="C1" s="28" t="s">
        <v>20</v>
      </c>
      <c r="D1" s="27" t="s">
        <v>14</v>
      </c>
      <c r="E1" s="28" t="s">
        <v>20</v>
      </c>
      <c r="F1" s="27" t="s">
        <v>14</v>
      </c>
      <c r="G1" s="28" t="s">
        <v>20</v>
      </c>
      <c r="H1" s="27" t="s">
        <v>14</v>
      </c>
      <c r="I1" s="28" t="s">
        <v>20</v>
      </c>
      <c r="J1" s="27" t="s">
        <v>14</v>
      </c>
      <c r="K1" s="28" t="s">
        <v>20</v>
      </c>
      <c r="L1" s="27" t="s">
        <v>14</v>
      </c>
      <c r="M1" s="28" t="s">
        <v>20</v>
      </c>
      <c r="N1" s="89" t="s">
        <v>22</v>
      </c>
      <c r="O1" s="87" t="s">
        <v>23</v>
      </c>
      <c r="P1" s="87" t="s">
        <v>29</v>
      </c>
    </row>
    <row r="2" spans="1:16" s="21" customFormat="1" ht="38.25" customHeight="1" x14ac:dyDescent="0.3">
      <c r="A2" s="85"/>
      <c r="B2" s="86" t="s">
        <v>21</v>
      </c>
      <c r="C2" s="86"/>
      <c r="D2" s="86" t="s">
        <v>19</v>
      </c>
      <c r="E2" s="86"/>
      <c r="F2" s="86" t="s">
        <v>18</v>
      </c>
      <c r="G2" s="86"/>
      <c r="H2" s="86" t="s">
        <v>15</v>
      </c>
      <c r="I2" s="86"/>
      <c r="J2" s="86" t="s">
        <v>16</v>
      </c>
      <c r="K2" s="86"/>
      <c r="L2" s="86" t="s">
        <v>17</v>
      </c>
      <c r="M2" s="86"/>
      <c r="N2" s="90"/>
      <c r="O2" s="88"/>
      <c r="P2" s="88"/>
    </row>
    <row r="3" spans="1:16" x14ac:dyDescent="0.3">
      <c r="A3" s="54" t="str">
        <f>'Cost-Benefit (BASE)'!A10</f>
        <v>Option 1</v>
      </c>
      <c r="B3" s="25">
        <f>'Cost-Benefit (BASE)'!$C$15</f>
        <v>322209585.9219774</v>
      </c>
      <c r="C3" s="12">
        <f>_xlfn.RANK.EQ(B3,B$3:B$7)</f>
        <v>2</v>
      </c>
      <c r="D3" s="22">
        <f>'Cost-Benefit (VCR+20%)'!$C$15</f>
        <v>392350001.94078642</v>
      </c>
      <c r="E3" s="12">
        <f>_xlfn.RANK.EQ(D3,D$3:D$7)</f>
        <v>2</v>
      </c>
      <c r="F3" s="22">
        <f>'Cost-Benefit (VCR-20%)'!C15</f>
        <v>256901788.06391096</v>
      </c>
      <c r="G3" s="12">
        <f>_xlfn.RANK.EQ(F3,F$3:F$7)</f>
        <v>2</v>
      </c>
      <c r="H3" s="22">
        <f>'Cost-Benefit (Disc rate high)'!C15</f>
        <v>272814065.2921837</v>
      </c>
      <c r="I3" s="12">
        <f>_xlfn.RANK.EQ(H3,H$3:H$7)</f>
        <v>2</v>
      </c>
      <c r="J3" s="22">
        <f>'Cost-Benefit (cost+30%)'!C15</f>
        <v>320427503.09539664</v>
      </c>
      <c r="K3" s="12">
        <f>_xlfn.RANK.EQ(J3,J$3:J$7)</f>
        <v>2</v>
      </c>
      <c r="L3" s="22">
        <f>'Cost-Benefit (cost-30%)'!C15</f>
        <v>328824286.90930068</v>
      </c>
      <c r="M3" s="12">
        <f>_xlfn.RANK.EQ(L3,L$3:L$7)</f>
        <v>2</v>
      </c>
      <c r="N3" s="25">
        <f>IF(P3="yes",AVERAGE(B3,D3,F3,H3,J3,L3),"not ranked")</f>
        <v>315587871.87059265</v>
      </c>
      <c r="O3" s="12">
        <f>_xlfn.RANK.EQ(N3,N$3:N$7)</f>
        <v>2</v>
      </c>
      <c r="P3" s="56" t="s">
        <v>28</v>
      </c>
    </row>
    <row r="4" spans="1:16" x14ac:dyDescent="0.3">
      <c r="A4" s="54" t="str">
        <f>'Cost-Benefit (BASE)'!A16</f>
        <v>Option 2</v>
      </c>
      <c r="B4" s="65">
        <f>'Cost-Benefit (BASE)'!$C$21</f>
        <v>321337246.7112534</v>
      </c>
      <c r="C4" s="66">
        <f>_xlfn.RANK.EQ(B4,B$3:B$7)</f>
        <v>3</v>
      </c>
      <c r="D4" s="67">
        <f>'Cost-Benefit (VCR+20%)'!$C$21</f>
        <v>391793499.53669858</v>
      </c>
      <c r="E4" s="66">
        <f>_xlfn.RANK.EQ(D4,D$3:D$7)</f>
        <v>3</v>
      </c>
      <c r="F4" s="67">
        <f>'Cost-Benefit (VCR-20%)'!C21</f>
        <v>255713612.04655066</v>
      </c>
      <c r="G4" s="66">
        <f>_xlfn.RANK.EQ(F4,F$3:F$7)</f>
        <v>3</v>
      </c>
      <c r="H4" s="67">
        <f>'Cost-Benefit (Disc rate high)'!C21</f>
        <v>271780670.98840994</v>
      </c>
      <c r="I4" s="66">
        <f>_xlfn.RANK.EQ(H4,H$3:H$7)</f>
        <v>3</v>
      </c>
      <c r="J4" s="67">
        <f>'Cost-Benefit (cost+30%)'!C21</f>
        <v>318819706.91150111</v>
      </c>
      <c r="K4" s="66">
        <f>_xlfn.RANK.EQ(J4,J$3:J$7)</f>
        <v>3</v>
      </c>
      <c r="L4" s="67">
        <f>'Cost-Benefit (cost-30%)'!C21</f>
        <v>328687404.67174816</v>
      </c>
      <c r="M4" s="66">
        <f>_xlfn.RANK.EQ(L4,L$3:L$7)</f>
        <v>3</v>
      </c>
      <c r="N4" s="65">
        <f>IF(P4="yes",AVERAGE(B4,D4,F4,H4,J4,L4),"not ranked")</f>
        <v>314688690.1443603</v>
      </c>
      <c r="O4" s="66">
        <f>_xlfn.RANK.EQ(N4,N$3:N$7)</f>
        <v>3</v>
      </c>
      <c r="P4" s="56" t="s">
        <v>28</v>
      </c>
    </row>
    <row r="5" spans="1:16" x14ac:dyDescent="0.3">
      <c r="A5" s="54" t="str">
        <f>'Cost-Benefit (BASE)'!A22</f>
        <v>Option 3</v>
      </c>
      <c r="B5" s="25">
        <f>'Cost-Benefit (BASE)'!$C$27</f>
        <v>282768671.97336429</v>
      </c>
      <c r="C5" s="12">
        <f>_xlfn.RANK.EQ(B5,B$3:B$7)</f>
        <v>4</v>
      </c>
      <c r="D5" s="22">
        <f>'Cost-Benefit (VCR+20%)'!$C$27</f>
        <v>343429769.00536984</v>
      </c>
      <c r="E5" s="12">
        <f>_xlfn.RANK.EQ(D5,D$3:D$7)</f>
        <v>4</v>
      </c>
      <c r="F5" s="22">
        <f>'Cost-Benefit (VCR-20%)'!C27</f>
        <v>226940193.1021013</v>
      </c>
      <c r="G5" s="12">
        <f>_xlfn.RANK.EQ(F5,F$3:F$7)</f>
        <v>4</v>
      </c>
      <c r="H5" s="22">
        <f>'Cost-Benefit (Disc rate high)'!C27</f>
        <v>240426633.78745303</v>
      </c>
      <c r="I5" s="12">
        <f>_xlfn.RANK.EQ(H5,H$3:H$7)</f>
        <v>4</v>
      </c>
      <c r="J5" s="22">
        <f>'Cost-Benefit (cost+30%)'!C27</f>
        <v>283373293.44240487</v>
      </c>
      <c r="K5" s="12">
        <f>_xlfn.RANK.EQ(J5,J$3:J$7)</f>
        <v>4</v>
      </c>
      <c r="L5" s="22">
        <f>'Cost-Benefit (cost-30%)'!C27</f>
        <v>286996668.66506624</v>
      </c>
      <c r="M5" s="12">
        <f>_xlfn.RANK.EQ(L5,L$3:L$7)</f>
        <v>4</v>
      </c>
      <c r="N5" s="25">
        <f>IF(P5="yes",AVERAGE(B5,D5,F5,H5,J5,L5),"not ranked")</f>
        <v>277322538.32929325</v>
      </c>
      <c r="O5" s="12">
        <f>_xlfn.RANK.EQ(N5,N$3:N$7)</f>
        <v>4</v>
      </c>
      <c r="P5" s="56" t="s">
        <v>28</v>
      </c>
    </row>
    <row r="6" spans="1:16" x14ac:dyDescent="0.3">
      <c r="A6" s="54" t="str">
        <f>'Cost-Benefit (BASE)'!A28</f>
        <v>Option 4</v>
      </c>
      <c r="B6" s="25">
        <f>'Cost-Benefit (BASE)'!$C$33</f>
        <v>326621468.8802765</v>
      </c>
      <c r="C6" s="12">
        <f>_xlfn.RANK.EQ(B6,B$3:B$7)</f>
        <v>1</v>
      </c>
      <c r="D6" s="22">
        <f>'Cost-Benefit (VCR+20%)'!$C$33</f>
        <v>397076732.00286472</v>
      </c>
      <c r="E6" s="12">
        <f>_xlfn.RANK.EQ(D6,D$3:D$7)</f>
        <v>1</v>
      </c>
      <c r="F6" s="22">
        <f>'Cost-Benefit (VCR-20%)'!C33</f>
        <v>260998823.91843072</v>
      </c>
      <c r="G6" s="12">
        <f>_xlfn.RANK.EQ(F6,F$3:F$7)</f>
        <v>1</v>
      </c>
      <c r="H6" s="22">
        <f>'Cost-Benefit (Disc rate high)'!C33</f>
        <v>276811257.75381267</v>
      </c>
      <c r="I6" s="12">
        <f>_xlfn.RANK.EQ(H6,H$3:H$7)</f>
        <v>1</v>
      </c>
      <c r="J6" s="22">
        <f>'Cost-Benefit (cost+30%)'!C33</f>
        <v>325690680.28551662</v>
      </c>
      <c r="K6" s="12">
        <f>_xlfn.RANK.EQ(J6,J$3:J$7)</f>
        <v>1</v>
      </c>
      <c r="L6" s="22">
        <f>'Cost-Benefit (cost-30%)'!C33</f>
        <v>332384875.63577896</v>
      </c>
      <c r="M6" s="12">
        <f>_xlfn.RANK.EQ(L6,L$3:L$7)</f>
        <v>1</v>
      </c>
      <c r="N6" s="25">
        <f>IF(P6="yes",AVERAGE(B6,D6,F6,H6,J6,L6),"not ranked")</f>
        <v>319930639.74611336</v>
      </c>
      <c r="O6" s="12">
        <f>_xlfn.RANK.EQ(N6,N$3:N$7)</f>
        <v>1</v>
      </c>
      <c r="P6" s="56" t="s">
        <v>28</v>
      </c>
    </row>
    <row r="7" spans="1:16" x14ac:dyDescent="0.3">
      <c r="A7" s="55"/>
      <c r="B7" s="26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6"/>
      <c r="O7" s="24"/>
      <c r="P7" s="57"/>
    </row>
  </sheetData>
  <mergeCells count="10">
    <mergeCell ref="P1:P2"/>
    <mergeCell ref="J2:K2"/>
    <mergeCell ref="L2:M2"/>
    <mergeCell ref="O1:O2"/>
    <mergeCell ref="N1:N2"/>
    <mergeCell ref="A1:A2"/>
    <mergeCell ref="B2:C2"/>
    <mergeCell ref="D2:E2"/>
    <mergeCell ref="F2:G2"/>
    <mergeCell ref="H2:I2"/>
  </mergeCells>
  <conditionalFormatting sqref="N3:N7">
    <cfRule type="containsText" dxfId="0" priority="1" operator="containsText" text="not ranked">
      <formula>NOT(ISERROR(SEARCH("not ranked",N3)))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4 D5:D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Normal="100" workbookViewId="0">
      <selection activeCell="N18" sqref="N18"/>
    </sheetView>
  </sheetViews>
  <sheetFormatPr defaultRowHeight="14.4" x14ac:dyDescent="0.3"/>
  <cols>
    <col min="1" max="1" width="43.33203125" customWidth="1"/>
    <col min="2" max="2" width="11.33203125" customWidth="1"/>
    <col min="3" max="3" width="15.33203125" customWidth="1"/>
    <col min="4" max="4" width="14.44140625" bestFit="1" customWidth="1"/>
    <col min="5" max="5" width="17.109375" bestFit="1" customWidth="1"/>
    <col min="6" max="6" width="17.44140625" bestFit="1" customWidth="1"/>
    <col min="7" max="7" width="17.109375" bestFit="1" customWidth="1"/>
    <col min="8" max="11" width="15.33203125" bestFit="1" customWidth="1"/>
    <col min="12" max="17" width="15.6640625" bestFit="1" customWidth="1"/>
    <col min="18" max="18" width="18.5546875" bestFit="1" customWidth="1"/>
    <col min="19" max="59" width="9.109375" customWidth="1"/>
  </cols>
  <sheetData>
    <row r="1" spans="1:16" x14ac:dyDescent="0.3">
      <c r="A1" t="s">
        <v>3</v>
      </c>
      <c r="B1" s="5">
        <f>'Cost-Benefit (BASE)'!B2</f>
        <v>6.3700000000000007E-2</v>
      </c>
    </row>
    <row r="2" spans="1:16" x14ac:dyDescent="0.3">
      <c r="A2" t="s">
        <v>51</v>
      </c>
      <c r="B2" s="68">
        <f>NPV(B1,'Option Costs'!C15:Q15)</f>
        <v>6038958.7044357089</v>
      </c>
    </row>
    <row r="4" spans="1:16" x14ac:dyDescent="0.3">
      <c r="A4" t="s">
        <v>7</v>
      </c>
      <c r="B4" s="76">
        <v>2018</v>
      </c>
      <c r="C4" s="76">
        <v>2019</v>
      </c>
      <c r="D4" s="76">
        <v>2020</v>
      </c>
      <c r="E4" s="76">
        <v>2021</v>
      </c>
      <c r="F4" s="76">
        <v>2022</v>
      </c>
      <c r="G4" s="76">
        <v>2023</v>
      </c>
      <c r="H4" s="76">
        <v>2024</v>
      </c>
      <c r="I4" s="76">
        <v>2025</v>
      </c>
      <c r="J4" s="76">
        <v>2026</v>
      </c>
      <c r="K4" s="76">
        <v>2027</v>
      </c>
      <c r="L4" s="76">
        <v>2028</v>
      </c>
      <c r="M4" s="76">
        <v>2029</v>
      </c>
      <c r="N4" s="76">
        <v>2030</v>
      </c>
      <c r="O4" s="76">
        <v>2031</v>
      </c>
      <c r="P4" s="76">
        <v>2032</v>
      </c>
    </row>
    <row r="5" spans="1:16" x14ac:dyDescent="0.3">
      <c r="A5" t="s">
        <v>46</v>
      </c>
      <c r="B5" s="29">
        <f>'Cost-Benefit (BASE)'!D6</f>
        <v>300245.27462176076</v>
      </c>
      <c r="C5" s="29">
        <f>'Cost-Benefit (BASE)'!E6</f>
        <v>2414580.5917877825</v>
      </c>
      <c r="D5" s="29">
        <f>'Cost-Benefit (BASE)'!F6</f>
        <v>10509330.984639179</v>
      </c>
      <c r="E5" s="29">
        <f>'Cost-Benefit (BASE)'!G6</f>
        <v>21635078.328279778</v>
      </c>
      <c r="F5" s="29">
        <f>'Cost-Benefit (BASE)'!H6</f>
        <v>26086640.486021142</v>
      </c>
      <c r="G5" s="29">
        <f>'Cost-Benefit (BASE)'!I6</f>
        <v>33786780.401333645</v>
      </c>
      <c r="H5" s="29">
        <f>'Cost-Benefit (BASE)'!J6</f>
        <v>38633973.808793649</v>
      </c>
      <c r="I5" s="29">
        <f>'Cost-Benefit (BASE)'!K6</f>
        <v>52442966.177926272</v>
      </c>
      <c r="J5" s="29">
        <f>'Cost-Benefit (BASE)'!L6</f>
        <v>63956927.678132921</v>
      </c>
      <c r="K5" s="29">
        <f>'Cost-Benefit (BASE)'!M6</f>
        <v>63956927.678132921</v>
      </c>
      <c r="L5" s="29">
        <f>'Cost-Benefit (BASE)'!N6</f>
        <v>63956927.678132921</v>
      </c>
      <c r="M5" s="29">
        <f>'Cost-Benefit (BASE)'!O6</f>
        <v>63956927.678132921</v>
      </c>
      <c r="N5" s="29">
        <f>'Cost-Benefit (BASE)'!P6</f>
        <v>63956927.678132921</v>
      </c>
      <c r="O5" s="29">
        <f>'Cost-Benefit (BASE)'!Q6</f>
        <v>63956927.678132921</v>
      </c>
      <c r="P5" s="29">
        <f>'Cost-Benefit (BASE)'!R6</f>
        <v>63956927.678132921</v>
      </c>
    </row>
    <row r="6" spans="1:16" ht="28.8" x14ac:dyDescent="0.3">
      <c r="A6" s="1" t="s">
        <v>47</v>
      </c>
      <c r="B6" s="75">
        <f>0-B5</f>
        <v>-300245.27462176076</v>
      </c>
      <c r="C6" s="75">
        <f>0-C5</f>
        <v>-2414580.5917877825</v>
      </c>
      <c r="D6" s="74">
        <f t="shared" ref="D6:P6" si="0">D5</f>
        <v>10509330.984639179</v>
      </c>
      <c r="E6" s="74">
        <f t="shared" si="0"/>
        <v>21635078.328279778</v>
      </c>
      <c r="F6" s="74">
        <f t="shared" si="0"/>
        <v>26086640.486021142</v>
      </c>
      <c r="G6" s="74">
        <f t="shared" si="0"/>
        <v>33786780.401333645</v>
      </c>
      <c r="H6" s="74">
        <f t="shared" si="0"/>
        <v>38633973.808793649</v>
      </c>
      <c r="I6" s="74">
        <f t="shared" si="0"/>
        <v>52442966.177926272</v>
      </c>
      <c r="J6" s="74">
        <f t="shared" si="0"/>
        <v>63956927.678132921</v>
      </c>
      <c r="K6" s="74">
        <f t="shared" si="0"/>
        <v>63956927.678132921</v>
      </c>
      <c r="L6" s="74">
        <f t="shared" si="0"/>
        <v>63956927.678132921</v>
      </c>
      <c r="M6" s="74">
        <f t="shared" si="0"/>
        <v>63956927.678132921</v>
      </c>
      <c r="N6" s="74">
        <f t="shared" si="0"/>
        <v>63956927.678132921</v>
      </c>
      <c r="O6" s="74">
        <f t="shared" si="0"/>
        <v>63956927.678132921</v>
      </c>
      <c r="P6" s="74">
        <f t="shared" si="0"/>
        <v>63956927.678132921</v>
      </c>
    </row>
    <row r="7" spans="1:16" ht="28.8" x14ac:dyDescent="0.3">
      <c r="A7" s="1" t="s">
        <v>48</v>
      </c>
      <c r="B7" s="77">
        <f>B6/1000000</f>
        <v>-0.30024527462176076</v>
      </c>
      <c r="C7" s="77">
        <f t="shared" ref="C7:P7" si="1">C6/1000000</f>
        <v>-2.4145805917877823</v>
      </c>
      <c r="D7" s="77">
        <f t="shared" si="1"/>
        <v>10.509330984639179</v>
      </c>
      <c r="E7" s="77">
        <f t="shared" si="1"/>
        <v>21.635078328279779</v>
      </c>
      <c r="F7" s="77">
        <f t="shared" si="1"/>
        <v>26.086640486021142</v>
      </c>
      <c r="G7" s="77">
        <f t="shared" si="1"/>
        <v>33.786780401333644</v>
      </c>
      <c r="H7" s="77">
        <f t="shared" si="1"/>
        <v>38.633973808793648</v>
      </c>
      <c r="I7" s="77">
        <f t="shared" si="1"/>
        <v>52.442966177926273</v>
      </c>
      <c r="J7" s="77">
        <f t="shared" si="1"/>
        <v>63.956927678132921</v>
      </c>
      <c r="K7" s="77">
        <f t="shared" si="1"/>
        <v>63.956927678132921</v>
      </c>
      <c r="L7" s="77">
        <f t="shared" si="1"/>
        <v>63.956927678132921</v>
      </c>
      <c r="M7" s="77">
        <f t="shared" si="1"/>
        <v>63.956927678132921</v>
      </c>
      <c r="N7" s="77">
        <f t="shared" si="1"/>
        <v>63.956927678132921</v>
      </c>
      <c r="O7" s="77">
        <f t="shared" si="1"/>
        <v>63.956927678132921</v>
      </c>
      <c r="P7" s="77">
        <f t="shared" si="1"/>
        <v>63.956927678132921</v>
      </c>
    </row>
    <row r="8" spans="1:16" x14ac:dyDescent="0.3">
      <c r="A8" s="9" t="s">
        <v>49</v>
      </c>
      <c r="B8" s="30">
        <f>-PMT($B$1,50,$B$2)</f>
        <v>403064.68644102244</v>
      </c>
      <c r="C8" s="30">
        <f>-PMT($B$1,50,$B$2)</f>
        <v>403064.68644102244</v>
      </c>
      <c r="D8" s="30">
        <f>-PMT($B$1,50,$B$2)</f>
        <v>403064.68644102244</v>
      </c>
      <c r="E8" s="30">
        <f t="shared" ref="E8:P8" si="2">-PMT(0.0637,50,$B$2)</f>
        <v>403064.68644102244</v>
      </c>
      <c r="F8" s="30">
        <f t="shared" si="2"/>
        <v>403064.68644102244</v>
      </c>
      <c r="G8" s="30">
        <f t="shared" si="2"/>
        <v>403064.68644102244</v>
      </c>
      <c r="H8" s="30">
        <f t="shared" si="2"/>
        <v>403064.68644102244</v>
      </c>
      <c r="I8" s="30">
        <f t="shared" si="2"/>
        <v>403064.68644102244</v>
      </c>
      <c r="J8" s="30">
        <f t="shared" si="2"/>
        <v>403064.68644102244</v>
      </c>
      <c r="K8" s="30">
        <f t="shared" si="2"/>
        <v>403064.68644102244</v>
      </c>
      <c r="L8" s="30">
        <f t="shared" si="2"/>
        <v>403064.68644102244</v>
      </c>
      <c r="M8" s="30">
        <f t="shared" si="2"/>
        <v>403064.68644102244</v>
      </c>
      <c r="N8" s="30">
        <f t="shared" si="2"/>
        <v>403064.68644102244</v>
      </c>
      <c r="O8" s="30">
        <f t="shared" si="2"/>
        <v>403064.68644102244</v>
      </c>
      <c r="P8" s="31">
        <f t="shared" si="2"/>
        <v>403064.68644102244</v>
      </c>
    </row>
    <row r="9" spans="1:16" x14ac:dyDescent="0.3">
      <c r="A9" s="9" t="s">
        <v>50</v>
      </c>
      <c r="B9" s="78">
        <f>B8/1000000</f>
        <v>0.40306468644102245</v>
      </c>
      <c r="C9" s="78">
        <f t="shared" ref="C9:P9" si="3">C8/1000000</f>
        <v>0.40306468644102245</v>
      </c>
      <c r="D9" s="78">
        <f t="shared" si="3"/>
        <v>0.40306468644102245</v>
      </c>
      <c r="E9" s="78">
        <f t="shared" si="3"/>
        <v>0.40306468644102245</v>
      </c>
      <c r="F9" s="78">
        <f t="shared" si="3"/>
        <v>0.40306468644102245</v>
      </c>
      <c r="G9" s="78">
        <f t="shared" si="3"/>
        <v>0.40306468644102245</v>
      </c>
      <c r="H9" s="78">
        <f t="shared" si="3"/>
        <v>0.40306468644102245</v>
      </c>
      <c r="I9" s="78">
        <f t="shared" si="3"/>
        <v>0.40306468644102245</v>
      </c>
      <c r="J9" s="78">
        <f t="shared" si="3"/>
        <v>0.40306468644102245</v>
      </c>
      <c r="K9" s="78">
        <f t="shared" si="3"/>
        <v>0.40306468644102245</v>
      </c>
      <c r="L9" s="78">
        <f t="shared" si="3"/>
        <v>0.40306468644102245</v>
      </c>
      <c r="M9" s="78">
        <f t="shared" si="3"/>
        <v>0.40306468644102245</v>
      </c>
      <c r="N9" s="78">
        <f t="shared" si="3"/>
        <v>0.40306468644102245</v>
      </c>
      <c r="O9" s="78">
        <f t="shared" si="3"/>
        <v>0.40306468644102245</v>
      </c>
      <c r="P9" s="79">
        <f t="shared" si="3"/>
        <v>0.40306468644102245</v>
      </c>
    </row>
    <row r="10" spans="1:16" x14ac:dyDescent="0.3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39" sqref="B39"/>
    </sheetView>
  </sheetViews>
  <sheetFormatPr defaultColWidth="9.109375" defaultRowHeight="14.4" x14ac:dyDescent="0.3"/>
  <cols>
    <col min="1" max="1" width="54.6640625" bestFit="1" customWidth="1"/>
    <col min="2" max="2" width="24.88671875" style="34" customWidth="1"/>
    <col min="3" max="3" width="21.109375" style="34" customWidth="1"/>
    <col min="4" max="5" width="17.44140625" style="34" bestFit="1" customWidth="1"/>
    <col min="6" max="6" width="18.5546875" style="34" bestFit="1" customWidth="1"/>
    <col min="7" max="7" width="17.109375" style="34" bestFit="1" customWidth="1"/>
    <col min="8" max="8" width="14.5546875" style="34" bestFit="1" customWidth="1"/>
    <col min="9" max="9" width="17.44140625" style="34" bestFit="1" customWidth="1"/>
    <col min="10" max="10" width="15" style="34" bestFit="1" customWidth="1"/>
    <col min="11" max="11" width="16.6640625" style="34" bestFit="1" customWidth="1"/>
    <col min="12" max="12" width="17.109375" style="34" bestFit="1" customWidth="1"/>
    <col min="13" max="14" width="16.6640625" style="34" bestFit="1" customWidth="1"/>
    <col min="15" max="15" width="16" style="34" bestFit="1" customWidth="1"/>
    <col min="16" max="16" width="16.6640625" style="34" bestFit="1" customWidth="1"/>
    <col min="17" max="17" width="17.109375" style="34" bestFit="1" customWidth="1"/>
    <col min="18" max="18" width="18.88671875" style="34" bestFit="1" customWidth="1"/>
    <col min="19" max="19" width="9.109375" style="9"/>
    <col min="20" max="21" width="9.88671875" style="9" bestFit="1" customWidth="1"/>
    <col min="22" max="31" width="10.6640625" style="9" bestFit="1" customWidth="1"/>
    <col min="32" max="16384" width="9.109375" style="9"/>
  </cols>
  <sheetData>
    <row r="1" spans="1:18" x14ac:dyDescent="0.3">
      <c r="A1" s="1" t="s">
        <v>7</v>
      </c>
      <c r="B1" s="32"/>
      <c r="C1" s="32">
        <v>2018</v>
      </c>
      <c r="D1" s="32">
        <v>2019</v>
      </c>
      <c r="E1" s="32">
        <v>2020</v>
      </c>
      <c r="F1" s="32">
        <v>2021</v>
      </c>
      <c r="G1" s="32">
        <v>2022</v>
      </c>
      <c r="H1" s="32">
        <v>2023</v>
      </c>
      <c r="I1" s="32">
        <v>2024</v>
      </c>
      <c r="J1" s="32">
        <v>2025</v>
      </c>
      <c r="K1" s="32">
        <v>2026</v>
      </c>
      <c r="L1" s="32">
        <v>2027</v>
      </c>
      <c r="M1" s="32">
        <v>2028</v>
      </c>
      <c r="N1" s="32">
        <v>2029</v>
      </c>
      <c r="O1" s="32">
        <v>2030</v>
      </c>
      <c r="P1" s="32">
        <v>2031</v>
      </c>
      <c r="Q1" s="32">
        <v>2032</v>
      </c>
      <c r="R1" s="32"/>
    </row>
    <row r="2" spans="1:18" x14ac:dyDescent="0.3">
      <c r="A2" s="9" t="s">
        <v>3</v>
      </c>
      <c r="B2" s="33">
        <v>6.3700000000000007E-2</v>
      </c>
      <c r="C2" s="19"/>
    </row>
    <row r="3" spans="1:18" x14ac:dyDescent="0.3">
      <c r="A3" s="9" t="s">
        <v>24</v>
      </c>
      <c r="B3" s="33">
        <v>2.5000000000000001E-2</v>
      </c>
      <c r="C3" s="19"/>
    </row>
    <row r="4" spans="1:18" x14ac:dyDescent="0.3">
      <c r="A4" s="9" t="s">
        <v>33</v>
      </c>
      <c r="B4" s="33">
        <v>1.4999999999999999E-2</v>
      </c>
      <c r="C4" s="19"/>
    </row>
    <row r="5" spans="1:18" x14ac:dyDescent="0.3">
      <c r="B5" s="69"/>
      <c r="C5" s="69"/>
    </row>
    <row r="6" spans="1:18" x14ac:dyDescent="0.3">
      <c r="P6" s="9"/>
      <c r="Q6" s="9"/>
      <c r="R6" s="9"/>
    </row>
    <row r="7" spans="1:18" s="10" customFormat="1" x14ac:dyDescent="0.3">
      <c r="A7" s="6" t="s">
        <v>34</v>
      </c>
      <c r="B7" s="36"/>
      <c r="C7" s="36">
        <f>C8+C9</f>
        <v>0</v>
      </c>
      <c r="D7" s="36">
        <f>D8+D9</f>
        <v>13746377.499999996</v>
      </c>
      <c r="E7" s="36">
        <f t="shared" ref="E7:O7" si="0">E8+E9</f>
        <v>211350.55406249993</v>
      </c>
      <c r="F7" s="36">
        <f t="shared" si="0"/>
        <v>216634.31791406241</v>
      </c>
      <c r="G7" s="36">
        <f t="shared" si="0"/>
        <v>222050.17586191394</v>
      </c>
      <c r="H7" s="36">
        <f t="shared" si="0"/>
        <v>227601.43025846177</v>
      </c>
      <c r="I7" s="36">
        <f t="shared" si="0"/>
        <v>233291.4660149233</v>
      </c>
      <c r="J7" s="36">
        <f t="shared" si="0"/>
        <v>239123.75266529634</v>
      </c>
      <c r="K7" s="36">
        <f t="shared" si="0"/>
        <v>245101.84648192872</v>
      </c>
      <c r="L7" s="36">
        <f t="shared" si="0"/>
        <v>251229.39264397693</v>
      </c>
      <c r="M7" s="36">
        <f t="shared" si="0"/>
        <v>257510.12746007633</v>
      </c>
      <c r="N7" s="36">
        <f t="shared" si="0"/>
        <v>263947.88064657821</v>
      </c>
      <c r="O7" s="36">
        <f t="shared" si="0"/>
        <v>270546.57766274264</v>
      </c>
      <c r="P7" s="36">
        <f t="shared" ref="P7:Q7" si="1">P8+P9</f>
        <v>277310.24210431118</v>
      </c>
      <c r="Q7" s="36">
        <f t="shared" si="1"/>
        <v>284242.99815691891</v>
      </c>
    </row>
    <row r="8" spans="1:18" x14ac:dyDescent="0.3">
      <c r="A8" s="1" t="s">
        <v>1</v>
      </c>
      <c r="B8" s="70"/>
      <c r="C8" s="71">
        <v>0</v>
      </c>
      <c r="D8" s="40">
        <f>D30</f>
        <v>13746377.499999996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71">
        <v>0</v>
      </c>
      <c r="P8" s="71">
        <v>0</v>
      </c>
      <c r="Q8" s="71">
        <v>0</v>
      </c>
      <c r="R8" s="9"/>
    </row>
    <row r="9" spans="1:18" x14ac:dyDescent="0.3">
      <c r="A9" s="1" t="s">
        <v>2</v>
      </c>
      <c r="B9" s="39"/>
      <c r="C9" s="40">
        <v>0</v>
      </c>
      <c r="D9" s="40">
        <f t="shared" ref="D9:Q9" si="2">(C9*(1+$B$3))+(C8*$B$4*(1+$B$3))</f>
        <v>0</v>
      </c>
      <c r="E9" s="40">
        <f t="shared" si="2"/>
        <v>211350.55406249993</v>
      </c>
      <c r="F9" s="40">
        <f t="shared" si="2"/>
        <v>216634.31791406241</v>
      </c>
      <c r="G9" s="40">
        <f t="shared" si="2"/>
        <v>222050.17586191394</v>
      </c>
      <c r="H9" s="40">
        <f t="shared" si="2"/>
        <v>227601.43025846177</v>
      </c>
      <c r="I9" s="40">
        <f t="shared" si="2"/>
        <v>233291.4660149233</v>
      </c>
      <c r="J9" s="40">
        <f t="shared" si="2"/>
        <v>239123.75266529634</v>
      </c>
      <c r="K9" s="40">
        <f t="shared" si="2"/>
        <v>245101.84648192872</v>
      </c>
      <c r="L9" s="40">
        <f t="shared" si="2"/>
        <v>251229.39264397693</v>
      </c>
      <c r="M9" s="40">
        <f t="shared" si="2"/>
        <v>257510.12746007633</v>
      </c>
      <c r="N9" s="40">
        <f t="shared" si="2"/>
        <v>263947.88064657821</v>
      </c>
      <c r="O9" s="40">
        <f t="shared" si="2"/>
        <v>270546.57766274264</v>
      </c>
      <c r="P9" s="40">
        <f t="shared" si="2"/>
        <v>277310.24210431118</v>
      </c>
      <c r="Q9" s="40">
        <f t="shared" si="2"/>
        <v>284242.99815691891</v>
      </c>
      <c r="R9" s="9"/>
    </row>
    <row r="10" spans="1:18" x14ac:dyDescent="0.3"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</row>
    <row r="11" spans="1:18" s="10" customFormat="1" x14ac:dyDescent="0.3">
      <c r="A11" s="8" t="s">
        <v>4</v>
      </c>
      <c r="B11" s="36"/>
      <c r="C11" s="36">
        <f t="shared" ref="C11" si="3">C12+C13</f>
        <v>0</v>
      </c>
      <c r="D11" s="36">
        <f t="shared" ref="D11" si="4">D12+D13</f>
        <v>16154409.999999996</v>
      </c>
      <c r="E11" s="36">
        <f t="shared" ref="E11" si="5">E12+E13</f>
        <v>248374.0537499999</v>
      </c>
      <c r="F11" s="36">
        <f t="shared" ref="F11" si="6">F12+F13</f>
        <v>254583.40509374987</v>
      </c>
      <c r="G11" s="36">
        <f t="shared" ref="G11" si="7">G12+G13</f>
        <v>260947.99022109358</v>
      </c>
      <c r="H11" s="36">
        <f t="shared" ref="H11" si="8">H12+H13</f>
        <v>267471.6899766209</v>
      </c>
      <c r="I11" s="36">
        <f t="shared" ref="I11" si="9">I12+I13</f>
        <v>274158.48222603637</v>
      </c>
      <c r="J11" s="36">
        <f t="shared" ref="J11" si="10">J12+J13</f>
        <v>281012.44428168726</v>
      </c>
      <c r="K11" s="36">
        <f t="shared" ref="K11" si="11">K12+K13</f>
        <v>288037.75538872939</v>
      </c>
      <c r="L11" s="36">
        <f t="shared" ref="L11" si="12">L12+L13</f>
        <v>295238.69927344762</v>
      </c>
      <c r="M11" s="36">
        <f t="shared" ref="M11" si="13">M12+M13</f>
        <v>302619.66675528378</v>
      </c>
      <c r="N11" s="36">
        <f t="shared" ref="N11" si="14">N12+N13</f>
        <v>310185.15842416586</v>
      </c>
      <c r="O11" s="36">
        <f t="shared" ref="O11:Q11" si="15">O12+O13</f>
        <v>317939.78738477</v>
      </c>
      <c r="P11" s="36">
        <f t="shared" si="15"/>
        <v>325889.28206938924</v>
      </c>
      <c r="Q11" s="36">
        <f t="shared" si="15"/>
        <v>334037.50449612399</v>
      </c>
    </row>
    <row r="12" spans="1:18" x14ac:dyDescent="0.3">
      <c r="A12" s="1" t="s">
        <v>1</v>
      </c>
      <c r="B12" s="70"/>
      <c r="C12" s="71">
        <v>0</v>
      </c>
      <c r="D12" s="40">
        <f>D31</f>
        <v>16154409.999999996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71">
        <v>0</v>
      </c>
      <c r="P12" s="71">
        <v>1</v>
      </c>
      <c r="Q12" s="71">
        <v>2</v>
      </c>
      <c r="R12" s="9"/>
    </row>
    <row r="13" spans="1:18" x14ac:dyDescent="0.3">
      <c r="A13" s="1" t="s">
        <v>2</v>
      </c>
      <c r="B13" s="39"/>
      <c r="C13" s="40">
        <v>0</v>
      </c>
      <c r="D13" s="40">
        <f t="shared" ref="D13:Q13" si="16">(C13*(1+$B$3))+(C12*$B$4*(1+$B$3))</f>
        <v>0</v>
      </c>
      <c r="E13" s="40">
        <f t="shared" si="16"/>
        <v>248374.0537499999</v>
      </c>
      <c r="F13" s="40">
        <f t="shared" si="16"/>
        <v>254583.40509374987</v>
      </c>
      <c r="G13" s="40">
        <f t="shared" si="16"/>
        <v>260947.99022109358</v>
      </c>
      <c r="H13" s="40">
        <f t="shared" si="16"/>
        <v>267471.6899766209</v>
      </c>
      <c r="I13" s="40">
        <f t="shared" si="16"/>
        <v>274158.48222603637</v>
      </c>
      <c r="J13" s="40">
        <f t="shared" si="16"/>
        <v>281012.44428168726</v>
      </c>
      <c r="K13" s="40">
        <f t="shared" si="16"/>
        <v>288037.75538872939</v>
      </c>
      <c r="L13" s="40">
        <f t="shared" si="16"/>
        <v>295238.69927344762</v>
      </c>
      <c r="M13" s="40">
        <f t="shared" si="16"/>
        <v>302619.66675528378</v>
      </c>
      <c r="N13" s="40">
        <f t="shared" si="16"/>
        <v>310185.15842416586</v>
      </c>
      <c r="O13" s="40">
        <f t="shared" si="16"/>
        <v>317939.78738477</v>
      </c>
      <c r="P13" s="40">
        <f t="shared" si="16"/>
        <v>325888.28206938924</v>
      </c>
      <c r="Q13" s="40">
        <f t="shared" si="16"/>
        <v>334035.50449612399</v>
      </c>
      <c r="R13" s="9"/>
    </row>
    <row r="14" spans="1:18" x14ac:dyDescent="0.3"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9"/>
    </row>
    <row r="15" spans="1:18" s="10" customFormat="1" x14ac:dyDescent="0.3">
      <c r="A15" s="8" t="s">
        <v>5</v>
      </c>
      <c r="B15" s="36"/>
      <c r="C15" s="36">
        <f t="shared" ref="C15" si="17">C16+C17</f>
        <v>0</v>
      </c>
      <c r="D15" s="36">
        <f t="shared" ref="D15" si="18">D16+D17</f>
        <v>5931828.7499999981</v>
      </c>
      <c r="E15" s="36">
        <f t="shared" ref="E15" si="19">E16+E17</f>
        <v>91201.86703124996</v>
      </c>
      <c r="F15" s="36">
        <f t="shared" ref="F15" si="20">F16+F17</f>
        <v>93481.913707031199</v>
      </c>
      <c r="G15" s="36">
        <f t="shared" ref="G15" si="21">G16+G17</f>
        <v>95818.961549706975</v>
      </c>
      <c r="H15" s="36">
        <f t="shared" ref="H15" si="22">H16+H17</f>
        <v>98214.435588449647</v>
      </c>
      <c r="I15" s="36">
        <f t="shared" ref="I15" si="23">I16+I17</f>
        <v>100669.79647816088</v>
      </c>
      <c r="J15" s="36">
        <f t="shared" ref="J15" si="24">J16+J17</f>
        <v>103186.54139011489</v>
      </c>
      <c r="K15" s="36">
        <f t="shared" ref="K15" si="25">K16+K17</f>
        <v>105766.20492486775</v>
      </c>
      <c r="L15" s="36">
        <f t="shared" ref="L15" si="26">L16+L17</f>
        <v>108410.36004798944</v>
      </c>
      <c r="M15" s="36">
        <f t="shared" ref="M15" si="27">M16+M17</f>
        <v>111120.61904918916</v>
      </c>
      <c r="N15" s="36">
        <f t="shared" ref="N15" si="28">N16+N17</f>
        <v>113898.63452541888</v>
      </c>
      <c r="O15" s="36">
        <f t="shared" ref="O15:Q15" si="29">O16+O17</f>
        <v>116746.10038855435</v>
      </c>
      <c r="P15" s="36">
        <f t="shared" si="29"/>
        <v>119664.7528982682</v>
      </c>
      <c r="Q15" s="36">
        <f t="shared" si="29"/>
        <v>122656.3717207249</v>
      </c>
    </row>
    <row r="16" spans="1:18" x14ac:dyDescent="0.3">
      <c r="A16" s="1" t="s">
        <v>1</v>
      </c>
      <c r="B16" s="70"/>
      <c r="C16" s="71">
        <v>0</v>
      </c>
      <c r="D16" s="40">
        <f>D32</f>
        <v>5931828.7499999981</v>
      </c>
      <c r="E16" s="40">
        <v>0</v>
      </c>
      <c r="F16" s="71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71">
        <v>0</v>
      </c>
      <c r="P16" s="71">
        <v>0</v>
      </c>
      <c r="Q16" s="71">
        <v>0</v>
      </c>
      <c r="R16" s="9"/>
    </row>
    <row r="17" spans="1:19" x14ac:dyDescent="0.3">
      <c r="A17" s="1" t="s">
        <v>2</v>
      </c>
      <c r="B17" s="39"/>
      <c r="C17" s="40">
        <v>0</v>
      </c>
      <c r="D17" s="40">
        <f t="shared" ref="D17:Q17" si="30">(C17*(1+$B$3))+(C16*$B$4*(1+$B$3))</f>
        <v>0</v>
      </c>
      <c r="E17" s="40">
        <f t="shared" si="30"/>
        <v>91201.86703124996</v>
      </c>
      <c r="F17" s="40">
        <f t="shared" si="30"/>
        <v>93481.913707031199</v>
      </c>
      <c r="G17" s="40">
        <f t="shared" si="30"/>
        <v>95818.961549706975</v>
      </c>
      <c r="H17" s="40">
        <f t="shared" si="30"/>
        <v>98214.435588449647</v>
      </c>
      <c r="I17" s="40">
        <f t="shared" si="30"/>
        <v>100669.79647816088</v>
      </c>
      <c r="J17" s="40">
        <f t="shared" si="30"/>
        <v>103186.54139011489</v>
      </c>
      <c r="K17" s="40">
        <f t="shared" si="30"/>
        <v>105766.20492486775</v>
      </c>
      <c r="L17" s="40">
        <f t="shared" si="30"/>
        <v>108410.36004798944</v>
      </c>
      <c r="M17" s="40">
        <f t="shared" si="30"/>
        <v>111120.61904918916</v>
      </c>
      <c r="N17" s="40">
        <f t="shared" si="30"/>
        <v>113898.63452541888</v>
      </c>
      <c r="O17" s="40">
        <f t="shared" si="30"/>
        <v>116746.10038855435</v>
      </c>
      <c r="P17" s="40">
        <f t="shared" si="30"/>
        <v>119664.7528982682</v>
      </c>
      <c r="Q17" s="40">
        <f t="shared" si="30"/>
        <v>122656.3717207249</v>
      </c>
      <c r="R17" s="9"/>
    </row>
    <row r="18" spans="1:19" x14ac:dyDescent="0.3"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9"/>
    </row>
    <row r="19" spans="1:19" s="10" customFormat="1" x14ac:dyDescent="0.3">
      <c r="A19" s="8" t="s">
        <v>6</v>
      </c>
      <c r="B19" s="36"/>
      <c r="C19" s="36">
        <f t="shared" ref="C19" si="31">C20+C21</f>
        <v>0</v>
      </c>
      <c r="D19" s="36">
        <f t="shared" ref="D19" si="32">D20+D21</f>
        <v>10959069.374999998</v>
      </c>
      <c r="E19" s="36">
        <f t="shared" ref="E19" si="33">E20+E21</f>
        <v>168495.69164062495</v>
      </c>
      <c r="F19" s="36">
        <f t="shared" ref="F19" si="34">F20+F21</f>
        <v>172708.08393164055</v>
      </c>
      <c r="G19" s="36">
        <f t="shared" ref="G19" si="35">G20+G21</f>
        <v>177025.78602993154</v>
      </c>
      <c r="H19" s="36">
        <f t="shared" ref="H19" si="36">H20+H21</f>
        <v>181451.4306806798</v>
      </c>
      <c r="I19" s="36">
        <f t="shared" ref="I19" si="37">I20+I21</f>
        <v>185987.71644769679</v>
      </c>
      <c r="J19" s="36">
        <f t="shared" ref="J19" si="38">J20+J21</f>
        <v>190637.40935888918</v>
      </c>
      <c r="K19" s="36">
        <f t="shared" ref="K19" si="39">K20+K21</f>
        <v>195403.34459286139</v>
      </c>
      <c r="L19" s="36">
        <f t="shared" ref="L19" si="40">L20+L21</f>
        <v>200288.42820768291</v>
      </c>
      <c r="M19" s="36">
        <f t="shared" ref="M19" si="41">M20+M21</f>
        <v>205295.63891287497</v>
      </c>
      <c r="N19" s="36">
        <f t="shared" ref="N19" si="42">N20+N21</f>
        <v>210428.02988569683</v>
      </c>
      <c r="O19" s="36">
        <f t="shared" ref="O19:Q19" si="43">O20+O21</f>
        <v>215688.73063283923</v>
      </c>
      <c r="P19" s="36">
        <f t="shared" si="43"/>
        <v>221080.94889866019</v>
      </c>
      <c r="Q19" s="36">
        <f t="shared" si="43"/>
        <v>226607.97262112668</v>
      </c>
    </row>
    <row r="20" spans="1:19" x14ac:dyDescent="0.3">
      <c r="A20" s="1" t="s">
        <v>1</v>
      </c>
      <c r="B20" s="70"/>
      <c r="C20" s="71">
        <v>0</v>
      </c>
      <c r="D20" s="40">
        <f>D33</f>
        <v>10959069.374999998</v>
      </c>
      <c r="E20" s="40">
        <v>0</v>
      </c>
      <c r="F20" s="71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71">
        <v>0</v>
      </c>
      <c r="P20" s="71">
        <v>0</v>
      </c>
      <c r="Q20" s="71">
        <v>0</v>
      </c>
      <c r="R20" s="9"/>
    </row>
    <row r="21" spans="1:19" x14ac:dyDescent="0.3">
      <c r="A21" s="1" t="s">
        <v>2</v>
      </c>
      <c r="B21" s="39"/>
      <c r="C21" s="40">
        <v>0</v>
      </c>
      <c r="D21" s="40">
        <f t="shared" ref="D21:Q21" si="44">(C21*(1+$B$3))+(C20*$B$4*(1+$B$3))</f>
        <v>0</v>
      </c>
      <c r="E21" s="40">
        <f t="shared" si="44"/>
        <v>168495.69164062495</v>
      </c>
      <c r="F21" s="40">
        <f t="shared" si="44"/>
        <v>172708.08393164055</v>
      </c>
      <c r="G21" s="40">
        <f t="shared" si="44"/>
        <v>177025.78602993154</v>
      </c>
      <c r="H21" s="40">
        <f t="shared" si="44"/>
        <v>181451.4306806798</v>
      </c>
      <c r="I21" s="40">
        <f t="shared" si="44"/>
        <v>185987.71644769679</v>
      </c>
      <c r="J21" s="40">
        <f t="shared" si="44"/>
        <v>190637.40935888918</v>
      </c>
      <c r="K21" s="40">
        <f t="shared" si="44"/>
        <v>195403.34459286139</v>
      </c>
      <c r="L21" s="40">
        <f t="shared" si="44"/>
        <v>200288.42820768291</v>
      </c>
      <c r="M21" s="40">
        <f t="shared" si="44"/>
        <v>205295.63891287497</v>
      </c>
      <c r="N21" s="40">
        <f t="shared" si="44"/>
        <v>210428.02988569683</v>
      </c>
      <c r="O21" s="40">
        <f t="shared" si="44"/>
        <v>215688.73063283923</v>
      </c>
      <c r="P21" s="40">
        <f t="shared" si="44"/>
        <v>221080.94889866019</v>
      </c>
      <c r="Q21" s="40">
        <f t="shared" si="44"/>
        <v>226607.97262112668</v>
      </c>
      <c r="R21" s="9"/>
    </row>
    <row r="22" spans="1:19" x14ac:dyDescent="0.3"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4" spans="1:19" s="10" customFormat="1" x14ac:dyDescent="0.3">
      <c r="A24" s="8"/>
      <c r="B24" s="35"/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9" x14ac:dyDescent="0.3">
      <c r="A25" s="1"/>
      <c r="B25" s="37"/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71"/>
    </row>
    <row r="26" spans="1:19" x14ac:dyDescent="0.3">
      <c r="A26" s="1"/>
      <c r="B26" s="41"/>
      <c r="C26" s="38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9" x14ac:dyDescent="0.3">
      <c r="B27" s="43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34"/>
    </row>
    <row r="28" spans="1:19" x14ac:dyDescent="0.3">
      <c r="B28" s="43"/>
      <c r="S28" s="34"/>
    </row>
    <row r="29" spans="1:19" x14ac:dyDescent="0.3">
      <c r="B29" s="48" t="s">
        <v>35</v>
      </c>
      <c r="C29" s="43">
        <v>2018</v>
      </c>
      <c r="D29" s="34">
        <v>2019</v>
      </c>
      <c r="E29" s="43">
        <v>2020</v>
      </c>
      <c r="F29" s="34">
        <v>2021</v>
      </c>
      <c r="G29" s="43">
        <v>2022</v>
      </c>
      <c r="H29" s="34">
        <v>2023</v>
      </c>
      <c r="I29" s="43">
        <v>2024</v>
      </c>
      <c r="J29" s="34">
        <v>2025</v>
      </c>
      <c r="K29" s="43">
        <v>2026</v>
      </c>
      <c r="L29" s="34">
        <v>2027</v>
      </c>
      <c r="M29" s="43">
        <v>2028</v>
      </c>
      <c r="N29" s="34">
        <v>2029</v>
      </c>
      <c r="O29" s="43">
        <v>2030</v>
      </c>
      <c r="P29" s="34">
        <v>2031</v>
      </c>
      <c r="Q29" s="34">
        <v>2032</v>
      </c>
      <c r="R29" s="43"/>
      <c r="S29" s="34"/>
    </row>
    <row r="30" spans="1:19" x14ac:dyDescent="0.3">
      <c r="A30" s="50" t="s">
        <v>31</v>
      </c>
      <c r="B30" s="51">
        <v>13084000</v>
      </c>
      <c r="C30" s="52">
        <f t="shared" ref="C30:Q30" si="45">B30*(1+$B$3)</f>
        <v>13411099.999999998</v>
      </c>
      <c r="D30" s="52">
        <f t="shared" si="45"/>
        <v>13746377.499999996</v>
      </c>
      <c r="E30" s="52">
        <f t="shared" si="45"/>
        <v>14090036.937499994</v>
      </c>
      <c r="F30" s="52">
        <f t="shared" si="45"/>
        <v>14442287.860937493</v>
      </c>
      <c r="G30" s="52">
        <f t="shared" si="45"/>
        <v>14803345.057460928</v>
      </c>
      <c r="H30" s="52">
        <f t="shared" si="45"/>
        <v>15173428.683897451</v>
      </c>
      <c r="I30" s="52">
        <f t="shared" si="45"/>
        <v>15552764.400994886</v>
      </c>
      <c r="J30" s="52">
        <f t="shared" si="45"/>
        <v>15941583.511019757</v>
      </c>
      <c r="K30" s="52">
        <f t="shared" si="45"/>
        <v>16340123.09879525</v>
      </c>
      <c r="L30" s="52">
        <f t="shared" si="45"/>
        <v>16748626.17626513</v>
      </c>
      <c r="M30" s="52">
        <f t="shared" si="45"/>
        <v>17167341.830671757</v>
      </c>
      <c r="N30" s="52">
        <f t="shared" si="45"/>
        <v>17596525.376438551</v>
      </c>
      <c r="O30" s="52">
        <f t="shared" si="45"/>
        <v>18036438.510849513</v>
      </c>
      <c r="P30" s="52">
        <f t="shared" si="45"/>
        <v>18487349.47362075</v>
      </c>
      <c r="Q30" s="52">
        <f t="shared" si="45"/>
        <v>18949533.210461266</v>
      </c>
      <c r="R30" s="20"/>
      <c r="S30" s="19"/>
    </row>
    <row r="31" spans="1:19" x14ac:dyDescent="0.3">
      <c r="A31" s="46" t="s">
        <v>32</v>
      </c>
      <c r="B31" s="47">
        <v>15376000</v>
      </c>
      <c r="C31" s="49">
        <f t="shared" ref="C31:Q31" si="46">B31*(1+$B$3)</f>
        <v>15760399.999999998</v>
      </c>
      <c r="D31" s="49">
        <f t="shared" si="46"/>
        <v>16154409.999999996</v>
      </c>
      <c r="E31" s="49">
        <f t="shared" si="46"/>
        <v>16558270.249999994</v>
      </c>
      <c r="F31" s="49">
        <f t="shared" si="46"/>
        <v>16972227.006249994</v>
      </c>
      <c r="G31" s="49">
        <f t="shared" si="46"/>
        <v>17396532.681406241</v>
      </c>
      <c r="H31" s="49">
        <f t="shared" si="46"/>
        <v>17831445.998441394</v>
      </c>
      <c r="I31" s="49">
        <f t="shared" si="46"/>
        <v>18277232.148402426</v>
      </c>
      <c r="J31" s="49">
        <f t="shared" si="46"/>
        <v>18734162.952112485</v>
      </c>
      <c r="K31" s="49">
        <f t="shared" si="46"/>
        <v>19202517.025915295</v>
      </c>
      <c r="L31" s="49">
        <f t="shared" si="46"/>
        <v>19682579.951563176</v>
      </c>
      <c r="M31" s="49">
        <f t="shared" si="46"/>
        <v>20174644.450352255</v>
      </c>
      <c r="N31" s="49">
        <f t="shared" si="46"/>
        <v>20679010.56161106</v>
      </c>
      <c r="O31" s="49">
        <f t="shared" si="46"/>
        <v>21195985.825651336</v>
      </c>
      <c r="P31" s="49">
        <f t="shared" si="46"/>
        <v>21725885.471292619</v>
      </c>
      <c r="Q31" s="49">
        <f t="shared" si="46"/>
        <v>22269032.608074933</v>
      </c>
      <c r="R31" s="20"/>
      <c r="S31" s="19"/>
    </row>
    <row r="32" spans="1:19" x14ac:dyDescent="0.3">
      <c r="A32" s="53" t="s">
        <v>52</v>
      </c>
      <c r="B32" s="51">
        <v>5646000</v>
      </c>
      <c r="C32" s="52">
        <f t="shared" ref="C32:Q32" si="47">B32*(1+$B$3)</f>
        <v>5787149.9999999991</v>
      </c>
      <c r="D32" s="52">
        <f t="shared" si="47"/>
        <v>5931828.7499999981</v>
      </c>
      <c r="E32" s="52">
        <f t="shared" si="47"/>
        <v>6080124.4687499972</v>
      </c>
      <c r="F32" s="52">
        <f t="shared" si="47"/>
        <v>6232127.5804687468</v>
      </c>
      <c r="G32" s="52">
        <f t="shared" si="47"/>
        <v>6387930.7699804651</v>
      </c>
      <c r="H32" s="52">
        <f t="shared" si="47"/>
        <v>6547629.039229976</v>
      </c>
      <c r="I32" s="52">
        <f t="shared" si="47"/>
        <v>6711319.7652107244</v>
      </c>
      <c r="J32" s="52">
        <f t="shared" si="47"/>
        <v>6879102.7593409922</v>
      </c>
      <c r="K32" s="52">
        <f t="shared" si="47"/>
        <v>7051080.3283245163</v>
      </c>
      <c r="L32" s="52">
        <f t="shared" si="47"/>
        <v>7227357.3365326282</v>
      </c>
      <c r="M32" s="52">
        <f t="shared" si="47"/>
        <v>7408041.2699459428</v>
      </c>
      <c r="N32" s="52">
        <f t="shared" si="47"/>
        <v>7593242.3016945906</v>
      </c>
      <c r="O32" s="52">
        <f t="shared" si="47"/>
        <v>7783073.3592369547</v>
      </c>
      <c r="P32" s="52">
        <f t="shared" si="47"/>
        <v>7977650.1932178782</v>
      </c>
      <c r="Q32" s="52">
        <f t="shared" si="47"/>
        <v>8177091.4480483243</v>
      </c>
      <c r="R32" s="20"/>
      <c r="S32" s="19"/>
    </row>
    <row r="33" spans="1:19" x14ac:dyDescent="0.3">
      <c r="A33" s="46" t="s">
        <v>53</v>
      </c>
      <c r="B33" s="47">
        <v>10431000</v>
      </c>
      <c r="C33" s="49">
        <f t="shared" ref="C33:Q33" si="48">B33*(1+$B$3)</f>
        <v>10691775</v>
      </c>
      <c r="D33" s="49">
        <f t="shared" si="48"/>
        <v>10959069.374999998</v>
      </c>
      <c r="E33" s="49">
        <f t="shared" si="48"/>
        <v>11233046.109374996</v>
      </c>
      <c r="F33" s="49">
        <f t="shared" si="48"/>
        <v>11513872.262109371</v>
      </c>
      <c r="G33" s="49">
        <f t="shared" si="48"/>
        <v>11801719.068662103</v>
      </c>
      <c r="H33" s="49">
        <f t="shared" si="48"/>
        <v>12096762.045378655</v>
      </c>
      <c r="I33" s="49">
        <f t="shared" si="48"/>
        <v>12399181.09651312</v>
      </c>
      <c r="J33" s="49">
        <f t="shared" si="48"/>
        <v>12709160.623925947</v>
      </c>
      <c r="K33" s="49">
        <f t="shared" si="48"/>
        <v>13026889.639524095</v>
      </c>
      <c r="L33" s="49">
        <f t="shared" si="48"/>
        <v>13352561.880512197</v>
      </c>
      <c r="M33" s="49">
        <f t="shared" si="48"/>
        <v>13686375.927525001</v>
      </c>
      <c r="N33" s="49">
        <f t="shared" si="48"/>
        <v>14028535.325713124</v>
      </c>
      <c r="O33" s="49">
        <f t="shared" si="48"/>
        <v>14379248.708855951</v>
      </c>
      <c r="P33" s="49">
        <f t="shared" si="48"/>
        <v>14738729.926577348</v>
      </c>
      <c r="Q33" s="49">
        <f t="shared" si="48"/>
        <v>15107198.17474178</v>
      </c>
      <c r="R33" s="20"/>
      <c r="S33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D23" sqref="D23:R23"/>
    </sheetView>
  </sheetViews>
  <sheetFormatPr defaultRowHeight="14.4" x14ac:dyDescent="0.3"/>
  <cols>
    <col min="1" max="1" width="23.88671875" bestFit="1" customWidth="1"/>
    <col min="2" max="2" width="11.5546875" bestFit="1" customWidth="1"/>
    <col min="3" max="3" width="25.6640625" bestFit="1" customWidth="1"/>
    <col min="4" max="5" width="12.44140625" bestFit="1" customWidth="1"/>
    <col min="6" max="9" width="13.6640625" bestFit="1" customWidth="1"/>
    <col min="10" max="12" width="13.88671875" bestFit="1" customWidth="1"/>
    <col min="13" max="18" width="13.5546875" bestFit="1" customWidth="1"/>
  </cols>
  <sheetData>
    <row r="1" spans="1:19" s="10" customFormat="1" x14ac:dyDescent="0.3">
      <c r="A1" s="19" t="s">
        <v>12</v>
      </c>
      <c r="B1" s="20">
        <v>39440</v>
      </c>
      <c r="C1" s="20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9" x14ac:dyDescent="0.3">
      <c r="A2" s="1" t="s">
        <v>3</v>
      </c>
      <c r="B2" s="14">
        <v>6.3700000000000007E-2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9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9" x14ac:dyDescent="0.3">
      <c r="A5" s="1" t="s">
        <v>38</v>
      </c>
      <c r="B5" s="1"/>
      <c r="C5" s="1"/>
      <c r="D5" s="16">
        <v>7.6127098027829811</v>
      </c>
      <c r="E5" s="16">
        <v>61.221617438838294</v>
      </c>
      <c r="F5" s="16">
        <v>266.46376735900554</v>
      </c>
      <c r="G5" s="16">
        <v>548.55675274543046</v>
      </c>
      <c r="H5" s="16">
        <v>661.42597581189511</v>
      </c>
      <c r="I5" s="16">
        <v>856.66278908046763</v>
      </c>
      <c r="J5" s="16">
        <v>979.56323044608644</v>
      </c>
      <c r="K5" s="16">
        <v>1329.6898118135464</v>
      </c>
      <c r="L5" s="16">
        <v>1621.6259553279137</v>
      </c>
      <c r="M5" s="16">
        <f>L5</f>
        <v>1621.6259553279137</v>
      </c>
      <c r="N5" s="16">
        <f t="shared" ref="N5:R5" si="0">M5</f>
        <v>1621.6259553279137</v>
      </c>
      <c r="O5" s="16">
        <f t="shared" si="0"/>
        <v>1621.6259553279137</v>
      </c>
      <c r="P5" s="16">
        <f t="shared" si="0"/>
        <v>1621.6259553279137</v>
      </c>
      <c r="Q5" s="16">
        <f t="shared" si="0"/>
        <v>1621.6259553279137</v>
      </c>
      <c r="R5" s="16">
        <f t="shared" si="0"/>
        <v>1621.6259553279137</v>
      </c>
    </row>
    <row r="6" spans="1:19" x14ac:dyDescent="0.3">
      <c r="A6" s="1" t="s">
        <v>0</v>
      </c>
      <c r="B6" s="1"/>
      <c r="C6" s="3"/>
      <c r="D6" s="3">
        <f>D5*$B$1</f>
        <v>300245.27462176076</v>
      </c>
      <c r="E6" s="3">
        <f t="shared" ref="E6:H6" si="1">E5*$B$1</f>
        <v>2414580.5917877825</v>
      </c>
      <c r="F6" s="3">
        <f t="shared" si="1"/>
        <v>10509330.984639179</v>
      </c>
      <c r="G6" s="3">
        <f t="shared" si="1"/>
        <v>21635078.328279778</v>
      </c>
      <c r="H6" s="3">
        <f t="shared" si="1"/>
        <v>26086640.486021142</v>
      </c>
      <c r="I6" s="3">
        <f t="shared" ref="I6" si="2">I5*$B$1</f>
        <v>33786780.401333645</v>
      </c>
      <c r="J6" s="3">
        <f t="shared" ref="J6" si="3">J5*$B$1</f>
        <v>38633973.808793649</v>
      </c>
      <c r="K6" s="3">
        <f t="shared" ref="K6:L6" si="4">K5*$B$1</f>
        <v>52442966.177926272</v>
      </c>
      <c r="L6" s="3">
        <f t="shared" si="4"/>
        <v>63956927.678132921</v>
      </c>
      <c r="M6" s="3">
        <f t="shared" ref="M6" si="5">M5*$B$1</f>
        <v>63956927.678132921</v>
      </c>
      <c r="N6" s="3">
        <f t="shared" ref="N6" si="6">N5*$B$1</f>
        <v>63956927.678132921</v>
      </c>
      <c r="O6" s="3">
        <f t="shared" ref="O6:P6" si="7">O5*$B$1</f>
        <v>63956927.678132921</v>
      </c>
      <c r="P6" s="3">
        <f t="shared" si="7"/>
        <v>63956927.678132921</v>
      </c>
      <c r="Q6" s="3">
        <f t="shared" ref="Q6" si="8">Q5*$B$1</f>
        <v>63956927.678132921</v>
      </c>
      <c r="R6" s="3">
        <f t="shared" ref="R6" si="9">R5*$B$1</f>
        <v>63956927.678132921</v>
      </c>
    </row>
    <row r="7" spans="1:19" x14ac:dyDescent="0.3">
      <c r="A7" s="1" t="s">
        <v>9</v>
      </c>
      <c r="B7" s="1"/>
      <c r="C7" s="3">
        <f>NPV($B$2,D7:R7)</f>
        <v>-342616072.88648283</v>
      </c>
      <c r="D7" s="4">
        <f>0-D6</f>
        <v>-300245.27462176076</v>
      </c>
      <c r="E7" s="4">
        <f t="shared" ref="E7:R7" si="10">0-E6</f>
        <v>-2414580.5917877825</v>
      </c>
      <c r="F7" s="4">
        <f t="shared" si="10"/>
        <v>-10509330.984639179</v>
      </c>
      <c r="G7" s="4">
        <f t="shared" si="10"/>
        <v>-21635078.328279778</v>
      </c>
      <c r="H7" s="4">
        <f t="shared" si="10"/>
        <v>-26086640.486021142</v>
      </c>
      <c r="I7" s="4">
        <f t="shared" si="10"/>
        <v>-33786780.401333645</v>
      </c>
      <c r="J7" s="4">
        <f t="shared" si="10"/>
        <v>-38633973.808793649</v>
      </c>
      <c r="K7" s="4">
        <f t="shared" si="10"/>
        <v>-52442966.177926272</v>
      </c>
      <c r="L7" s="4">
        <f t="shared" si="10"/>
        <v>-63956927.678132921</v>
      </c>
      <c r="M7" s="4">
        <f t="shared" si="10"/>
        <v>-63956927.678132921</v>
      </c>
      <c r="N7" s="4">
        <f t="shared" si="10"/>
        <v>-63956927.678132921</v>
      </c>
      <c r="O7" s="4">
        <f t="shared" si="10"/>
        <v>-63956927.678132921</v>
      </c>
      <c r="P7" s="4">
        <f t="shared" si="10"/>
        <v>-63956927.678132921</v>
      </c>
      <c r="Q7" s="4">
        <f t="shared" si="10"/>
        <v>-63956927.678132921</v>
      </c>
      <c r="R7" s="4">
        <f t="shared" si="10"/>
        <v>-63956927.678132921</v>
      </c>
    </row>
    <row r="8" spans="1:19" x14ac:dyDescent="0.3">
      <c r="A8" s="1" t="s">
        <v>10</v>
      </c>
      <c r="B8" s="1"/>
      <c r="C8" s="3">
        <f>NPV($B$2,E8:R8)+D8</f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</row>
    <row r="9" spans="1:19" x14ac:dyDescent="0.3">
      <c r="A9" s="1" t="s">
        <v>11</v>
      </c>
      <c r="C9" s="4">
        <f>C7-C8</f>
        <v>-342616072.88648283</v>
      </c>
    </row>
    <row r="10" spans="1:19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9" x14ac:dyDescent="0.3">
      <c r="A11" s="1" t="s">
        <v>38</v>
      </c>
      <c r="B11" s="1"/>
      <c r="C11" s="1"/>
      <c r="D11" s="16">
        <f>D5</f>
        <v>7.6127098027829811</v>
      </c>
      <c r="E11" s="16">
        <f>E5</f>
        <v>61.221617438838294</v>
      </c>
      <c r="F11" s="72">
        <v>1.0864178647283446E-2</v>
      </c>
      <c r="G11" s="72">
        <v>3.1785664937107994E-2</v>
      </c>
      <c r="H11" s="72">
        <v>4.4041428079019604E-2</v>
      </c>
      <c r="I11" s="72">
        <v>0.85906767601933787</v>
      </c>
      <c r="J11" s="72">
        <v>2.3244670348420327</v>
      </c>
      <c r="K11" s="72">
        <v>6.7993708357099534</v>
      </c>
      <c r="L11" s="72">
        <v>10.031644848833674</v>
      </c>
      <c r="M11" s="16">
        <f>L11</f>
        <v>10.031644848833674</v>
      </c>
      <c r="N11" s="16">
        <f t="shared" ref="N11:R11" si="11">M11</f>
        <v>10.031644848833674</v>
      </c>
      <c r="O11" s="16">
        <f t="shared" si="11"/>
        <v>10.031644848833674</v>
      </c>
      <c r="P11" s="16">
        <f t="shared" si="11"/>
        <v>10.031644848833674</v>
      </c>
      <c r="Q11" s="16">
        <f t="shared" si="11"/>
        <v>10.031644848833674</v>
      </c>
      <c r="R11" s="16">
        <f t="shared" si="11"/>
        <v>10.031644848833674</v>
      </c>
    </row>
    <row r="12" spans="1:19" x14ac:dyDescent="0.3">
      <c r="A12" s="1" t="s">
        <v>0</v>
      </c>
      <c r="B12" s="1"/>
      <c r="C12" s="3">
        <f>NPV($B$2,D12:R12)</f>
        <v>3995538.1942940494</v>
      </c>
      <c r="D12" s="3">
        <f>D11*$B$1</f>
        <v>300245.27462176076</v>
      </c>
      <c r="E12" s="3">
        <f t="shared" ref="E12:R12" si="12">E11*$B$1</f>
        <v>2414580.5917877825</v>
      </c>
      <c r="F12" s="3">
        <f t="shared" si="12"/>
        <v>428.48320584885909</v>
      </c>
      <c r="G12" s="3">
        <f t="shared" si="12"/>
        <v>1253.6266251195393</v>
      </c>
      <c r="H12" s="3">
        <f t="shared" si="12"/>
        <v>1736.9939234365331</v>
      </c>
      <c r="I12" s="3">
        <f t="shared" si="12"/>
        <v>33881.629142202684</v>
      </c>
      <c r="J12" s="3">
        <f t="shared" si="12"/>
        <v>91676.979854169767</v>
      </c>
      <c r="K12" s="3">
        <f t="shared" si="12"/>
        <v>268167.18576040055</v>
      </c>
      <c r="L12" s="3">
        <f t="shared" si="12"/>
        <v>395648.07283800008</v>
      </c>
      <c r="M12" s="3">
        <f t="shared" si="12"/>
        <v>395648.07283800008</v>
      </c>
      <c r="N12" s="3">
        <f t="shared" si="12"/>
        <v>395648.07283800008</v>
      </c>
      <c r="O12" s="3">
        <f t="shared" si="12"/>
        <v>395648.07283800008</v>
      </c>
      <c r="P12" s="3">
        <f t="shared" si="12"/>
        <v>395648.07283800008</v>
      </c>
      <c r="Q12" s="3">
        <f t="shared" si="12"/>
        <v>395648.07283800008</v>
      </c>
      <c r="R12" s="3">
        <f t="shared" si="12"/>
        <v>395648.07283800008</v>
      </c>
    </row>
    <row r="13" spans="1:19" x14ac:dyDescent="0.3">
      <c r="A13" s="1" t="s">
        <v>9</v>
      </c>
      <c r="B13" s="1"/>
      <c r="C13" s="3">
        <f t="shared" ref="C13:C14" si="13">NPV($B$2,D13:R13)</f>
        <v>336204225.61181742</v>
      </c>
      <c r="D13" s="4">
        <f>D7</f>
        <v>-300245.27462176076</v>
      </c>
      <c r="E13" s="4">
        <f>E7</f>
        <v>-2414580.5917877825</v>
      </c>
      <c r="F13" s="4">
        <f t="shared" ref="F13:R13" si="14">F$6-F12</f>
        <v>10508902.50143333</v>
      </c>
      <c r="G13" s="4">
        <f t="shared" si="14"/>
        <v>21633824.701654658</v>
      </c>
      <c r="H13" s="4">
        <f t="shared" si="14"/>
        <v>26084903.492097706</v>
      </c>
      <c r="I13" s="4">
        <f t="shared" si="14"/>
        <v>33752898.772191443</v>
      </c>
      <c r="J13" s="4">
        <f t="shared" si="14"/>
        <v>38542296.828939483</v>
      </c>
      <c r="K13" s="4">
        <f t="shared" si="14"/>
        <v>52174798.992165871</v>
      </c>
      <c r="L13" s="4">
        <f t="shared" si="14"/>
        <v>63561279.605294921</v>
      </c>
      <c r="M13" s="4">
        <f t="shared" si="14"/>
        <v>63561279.605294921</v>
      </c>
      <c r="N13" s="4">
        <f t="shared" si="14"/>
        <v>63561279.605294921</v>
      </c>
      <c r="O13" s="4">
        <f t="shared" si="14"/>
        <v>63561279.605294921</v>
      </c>
      <c r="P13" s="4">
        <f t="shared" si="14"/>
        <v>63561279.605294921</v>
      </c>
      <c r="Q13" s="4">
        <f t="shared" si="14"/>
        <v>63561279.605294921</v>
      </c>
      <c r="R13" s="4">
        <f t="shared" si="14"/>
        <v>63561279.605294921</v>
      </c>
    </row>
    <row r="14" spans="1:19" x14ac:dyDescent="0.3">
      <c r="A14" s="1" t="s">
        <v>10</v>
      </c>
      <c r="B14" s="1"/>
      <c r="C14" s="3">
        <f t="shared" si="13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9" x14ac:dyDescent="0.3">
      <c r="A15" s="1" t="s">
        <v>11</v>
      </c>
      <c r="C15" s="4">
        <f>C13-C14</f>
        <v>322209585.9219774</v>
      </c>
    </row>
    <row r="16" spans="1:19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81">
        <f>D5</f>
        <v>7.6127098027829811</v>
      </c>
      <c r="E17" s="81">
        <f>E5</f>
        <v>61.221617438838294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3">
        <v>3.4000000000000002E-4</v>
      </c>
      <c r="M17" s="80">
        <f>L17</f>
        <v>3.4000000000000002E-4</v>
      </c>
      <c r="N17" s="80">
        <f t="shared" ref="N17:R17" si="15">M17</f>
        <v>3.4000000000000002E-4</v>
      </c>
      <c r="O17" s="80">
        <f t="shared" si="15"/>
        <v>3.4000000000000002E-4</v>
      </c>
      <c r="P17" s="80">
        <f t="shared" si="15"/>
        <v>3.4000000000000002E-4</v>
      </c>
      <c r="Q17" s="80">
        <f t="shared" si="15"/>
        <v>3.4000000000000002E-4</v>
      </c>
      <c r="R17" s="80">
        <f t="shared" si="15"/>
        <v>3.4000000000000002E-4</v>
      </c>
    </row>
    <row r="18" spans="1:18" x14ac:dyDescent="0.3">
      <c r="A18" s="1" t="s">
        <v>0</v>
      </c>
      <c r="B18" s="1"/>
      <c r="C18" s="3">
        <f>NPV($B$2,D18:R18)</f>
        <v>2416354.1611130559</v>
      </c>
      <c r="D18" s="3">
        <f>D17*$B$1</f>
        <v>300245.27462176076</v>
      </c>
      <c r="E18" s="3">
        <f t="shared" ref="E18:R18" si="16">E17*$B$1</f>
        <v>2414580.5917877825</v>
      </c>
      <c r="F18" s="3">
        <f t="shared" si="16"/>
        <v>0</v>
      </c>
      <c r="G18" s="3">
        <f t="shared" si="16"/>
        <v>0</v>
      </c>
      <c r="H18" s="3">
        <f t="shared" si="16"/>
        <v>0</v>
      </c>
      <c r="I18" s="3">
        <f t="shared" si="16"/>
        <v>0</v>
      </c>
      <c r="J18" s="3">
        <f t="shared" si="16"/>
        <v>0</v>
      </c>
      <c r="K18" s="3">
        <f t="shared" si="16"/>
        <v>0</v>
      </c>
      <c r="L18" s="3">
        <f t="shared" si="16"/>
        <v>13.409600000000001</v>
      </c>
      <c r="M18" s="3">
        <f t="shared" si="16"/>
        <v>13.409600000000001</v>
      </c>
      <c r="N18" s="3">
        <f t="shared" si="16"/>
        <v>13.409600000000001</v>
      </c>
      <c r="O18" s="3">
        <f t="shared" si="16"/>
        <v>13.409600000000001</v>
      </c>
      <c r="P18" s="3">
        <f t="shared" si="16"/>
        <v>13.409600000000001</v>
      </c>
      <c r="Q18" s="3">
        <f t="shared" si="16"/>
        <v>13.409600000000001</v>
      </c>
      <c r="R18" s="3">
        <f t="shared" si="16"/>
        <v>13.409600000000001</v>
      </c>
    </row>
    <row r="19" spans="1:18" x14ac:dyDescent="0.3">
      <c r="A19" s="1" t="s">
        <v>9</v>
      </c>
      <c r="B19" s="1"/>
      <c r="C19" s="3">
        <f t="shared" ref="C19:C20" si="17">NPV($B$2,D19:R19)</f>
        <v>337783409.64499849</v>
      </c>
      <c r="D19" s="4">
        <f>D7</f>
        <v>-300245.27462176076</v>
      </c>
      <c r="E19" s="4">
        <f>E7</f>
        <v>-2414580.5917877825</v>
      </c>
      <c r="F19" s="4">
        <f t="shared" ref="F19" si="18">F$6-F18</f>
        <v>10509330.984639179</v>
      </c>
      <c r="G19" s="4">
        <f t="shared" ref="G19" si="19">G$6-G18</f>
        <v>21635078.328279778</v>
      </c>
      <c r="H19" s="4">
        <f t="shared" ref="H19" si="20">H$6-H18</f>
        <v>26086640.486021142</v>
      </c>
      <c r="I19" s="4">
        <f t="shared" ref="I19" si="21">I$6-I18</f>
        <v>33786780.401333645</v>
      </c>
      <c r="J19" s="4">
        <f t="shared" ref="J19" si="22">J$6-J18</f>
        <v>38633973.808793649</v>
      </c>
      <c r="K19" s="4">
        <f t="shared" ref="K19" si="23">K$6-K18</f>
        <v>52442966.177926272</v>
      </c>
      <c r="L19" s="4">
        <f t="shared" ref="L19" si="24">L$6-L18</f>
        <v>63956914.268532924</v>
      </c>
      <c r="M19" s="4">
        <f t="shared" ref="M19" si="25">M$6-M18</f>
        <v>63956914.268532924</v>
      </c>
      <c r="N19" s="4">
        <f t="shared" ref="N19" si="26">N$6-N18</f>
        <v>63956914.268532924</v>
      </c>
      <c r="O19" s="4">
        <f t="shared" ref="O19" si="27">O$6-O18</f>
        <v>63956914.268532924</v>
      </c>
      <c r="P19" s="4">
        <f t="shared" ref="P19" si="28">P$6-P18</f>
        <v>63956914.268532924</v>
      </c>
      <c r="Q19" s="4">
        <f t="shared" ref="Q19" si="29">Q$6-Q18</f>
        <v>63956914.268532924</v>
      </c>
      <c r="R19" s="4">
        <f t="shared" ref="R19" si="30">R$6-R18</f>
        <v>63956914.268532924</v>
      </c>
    </row>
    <row r="20" spans="1:18" x14ac:dyDescent="0.3">
      <c r="A20" s="1" t="s">
        <v>10</v>
      </c>
      <c r="B20" s="1"/>
      <c r="C20" s="3">
        <f t="shared" si="17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321337246.7112534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v>7.6127098027829811</v>
      </c>
      <c r="E23" s="16">
        <v>61.221617438838294</v>
      </c>
      <c r="F23" s="72">
        <v>55.84821669014277</v>
      </c>
      <c r="G23" s="72">
        <v>44.463819225809502</v>
      </c>
      <c r="H23" s="72">
        <v>69.432552373413429</v>
      </c>
      <c r="I23" s="72">
        <v>107.34049657508233</v>
      </c>
      <c r="J23" s="72">
        <v>135.35714233430463</v>
      </c>
      <c r="K23" s="72">
        <v>231.77105564151572</v>
      </c>
      <c r="L23" s="72">
        <v>239.83463072642695</v>
      </c>
      <c r="M23" s="72">
        <v>239.83463072642695</v>
      </c>
      <c r="N23" s="72">
        <v>239.83463072642695</v>
      </c>
      <c r="O23" s="72">
        <v>239.83463072642695</v>
      </c>
      <c r="P23" s="72">
        <v>239.83463072642695</v>
      </c>
      <c r="Q23" s="72">
        <v>239.83463072642695</v>
      </c>
      <c r="R23" s="72">
        <v>239.83463072642695</v>
      </c>
    </row>
    <row r="24" spans="1:18" x14ac:dyDescent="0.3">
      <c r="A24" s="1" t="s">
        <v>0</v>
      </c>
      <c r="B24" s="1"/>
      <c r="C24" s="3">
        <f>NPV($B$2,D24:R24)</f>
        <v>51392133.1283115</v>
      </c>
      <c r="D24" s="3">
        <f>D23*$B$1</f>
        <v>300245.27462176076</v>
      </c>
      <c r="E24" s="3">
        <f>E23*$B$1</f>
        <v>2414580.5917877825</v>
      </c>
      <c r="F24" s="3">
        <f t="shared" ref="F24:R24" si="31">F23*$B$1</f>
        <v>2202653.666259231</v>
      </c>
      <c r="G24" s="3">
        <f t="shared" si="31"/>
        <v>1753653.0302659268</v>
      </c>
      <c r="H24" s="3">
        <f t="shared" si="31"/>
        <v>2738419.8656074256</v>
      </c>
      <c r="I24" s="3">
        <f t="shared" si="31"/>
        <v>4233509.184921247</v>
      </c>
      <c r="J24" s="3">
        <f t="shared" si="31"/>
        <v>5338485.6936649745</v>
      </c>
      <c r="K24" s="3">
        <f t="shared" si="31"/>
        <v>9141050.4345013797</v>
      </c>
      <c r="L24" s="3">
        <f t="shared" si="31"/>
        <v>9459077.8358502798</v>
      </c>
      <c r="M24" s="3">
        <f t="shared" si="31"/>
        <v>9459077.8358502798</v>
      </c>
      <c r="N24" s="3">
        <f t="shared" si="31"/>
        <v>9459077.8358502798</v>
      </c>
      <c r="O24" s="3">
        <f t="shared" si="31"/>
        <v>9459077.8358502798</v>
      </c>
      <c r="P24" s="3">
        <f t="shared" si="31"/>
        <v>9459077.8358502798</v>
      </c>
      <c r="Q24" s="3">
        <f t="shared" si="31"/>
        <v>9459077.8358502798</v>
      </c>
      <c r="R24" s="3">
        <f t="shared" si="31"/>
        <v>9459077.8358502798</v>
      </c>
    </row>
    <row r="25" spans="1:18" x14ac:dyDescent="0.3">
      <c r="A25" s="1" t="s">
        <v>9</v>
      </c>
      <c r="B25" s="1"/>
      <c r="C25" s="3">
        <f t="shared" ref="C25:C26" si="32">NPV($B$2,D25:R25)</f>
        <v>288807630.6778</v>
      </c>
      <c r="D25" s="4">
        <f>D7</f>
        <v>-300245.27462176076</v>
      </c>
      <c r="E25" s="4">
        <f>E7</f>
        <v>-2414580.5917877825</v>
      </c>
      <c r="F25" s="4">
        <f t="shared" ref="F25" si="33">F$6-F24</f>
        <v>8306677.3183799479</v>
      </c>
      <c r="G25" s="4">
        <f t="shared" ref="G25" si="34">G$6-G24</f>
        <v>19881425.298013851</v>
      </c>
      <c r="H25" s="4">
        <f t="shared" ref="H25" si="35">H$6-H24</f>
        <v>23348220.620413717</v>
      </c>
      <c r="I25" s="4">
        <f t="shared" ref="I25" si="36">I$6-I24</f>
        <v>29553271.216412399</v>
      </c>
      <c r="J25" s="4">
        <f t="shared" ref="J25" si="37">J$6-J24</f>
        <v>33295488.115128674</v>
      </c>
      <c r="K25" s="4">
        <f t="shared" ref="K25" si="38">K$6-K24</f>
        <v>43301915.743424892</v>
      </c>
      <c r="L25" s="4">
        <f t="shared" ref="L25" si="39">L$6-L24</f>
        <v>54497849.842282638</v>
      </c>
      <c r="M25" s="4">
        <f t="shared" ref="M25" si="40">M$6-M24</f>
        <v>54497849.842282638</v>
      </c>
      <c r="N25" s="4">
        <f t="shared" ref="N25" si="41">N$6-N24</f>
        <v>54497849.842282638</v>
      </c>
      <c r="O25" s="4">
        <f t="shared" ref="O25" si="42">O$6-O24</f>
        <v>54497849.842282638</v>
      </c>
      <c r="P25" s="4">
        <f t="shared" ref="P25" si="43">P$6-P24</f>
        <v>54497849.842282638</v>
      </c>
      <c r="Q25" s="4">
        <f t="shared" ref="Q25" si="44">Q$6-Q24</f>
        <v>54497849.842282638</v>
      </c>
      <c r="R25" s="4">
        <f t="shared" ref="R25" si="45">R$6-R24</f>
        <v>54497849.842282638</v>
      </c>
    </row>
    <row r="26" spans="1:18" x14ac:dyDescent="0.3">
      <c r="A26" s="1" t="s">
        <v>10</v>
      </c>
      <c r="B26" s="1"/>
      <c r="C26" s="3">
        <f t="shared" si="32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282768671.97336429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v>7.6127098027829811</v>
      </c>
      <c r="E29" s="16">
        <v>61.221617438838294</v>
      </c>
      <c r="F29" s="16">
        <v>0</v>
      </c>
      <c r="G29" s="16">
        <v>6.8524319604007754E-3</v>
      </c>
      <c r="H29" s="16">
        <v>9.551225714358038E-3</v>
      </c>
      <c r="I29" s="16">
        <v>9.1869027932518811E-3</v>
      </c>
      <c r="J29" s="16">
        <v>1.288216001050644E-2</v>
      </c>
      <c r="K29" s="16">
        <v>2.0968841252468871E-2</v>
      </c>
      <c r="L29" s="16">
        <v>2.5803856355532909E-2</v>
      </c>
      <c r="M29" s="16">
        <v>2.5803856355532909E-2</v>
      </c>
      <c r="N29" s="16">
        <v>2.5803856355532909E-2</v>
      </c>
      <c r="O29" s="16">
        <v>2.5803856355532909E-2</v>
      </c>
      <c r="P29" s="16">
        <v>2.5803856355532909E-2</v>
      </c>
      <c r="Q29" s="16">
        <v>2.5803856355532909E-2</v>
      </c>
      <c r="R29" s="16">
        <v>2.5803856355532909E-2</v>
      </c>
    </row>
    <row r="30" spans="1:18" x14ac:dyDescent="0.3">
      <c r="A30" s="1" t="s">
        <v>0</v>
      </c>
      <c r="B30" s="1"/>
      <c r="C30" s="3">
        <f>NPV($B$2,D30:R30)</f>
        <v>2421302.6753977537</v>
      </c>
      <c r="D30" s="3">
        <f>D29*$B$1</f>
        <v>300245.27462176076</v>
      </c>
      <c r="E30" s="3">
        <f>E29*$B$1</f>
        <v>2414580.5917877825</v>
      </c>
      <c r="F30" s="3">
        <f t="shared" ref="F30:R30" si="46">F29*$B$1</f>
        <v>0</v>
      </c>
      <c r="G30" s="3">
        <f t="shared" si="46"/>
        <v>270.25991651820658</v>
      </c>
      <c r="H30" s="3">
        <f t="shared" si="46"/>
        <v>376.70034217428099</v>
      </c>
      <c r="I30" s="3">
        <f t="shared" si="46"/>
        <v>362.33144616585417</v>
      </c>
      <c r="J30" s="3">
        <f t="shared" si="46"/>
        <v>508.07239081437399</v>
      </c>
      <c r="K30" s="3">
        <f t="shared" si="46"/>
        <v>827.0110989973723</v>
      </c>
      <c r="L30" s="3">
        <f t="shared" si="46"/>
        <v>1017.7040946622179</v>
      </c>
      <c r="M30" s="3">
        <f t="shared" si="46"/>
        <v>1017.7040946622179</v>
      </c>
      <c r="N30" s="3">
        <f t="shared" si="46"/>
        <v>1017.7040946622179</v>
      </c>
      <c r="O30" s="3">
        <f t="shared" si="46"/>
        <v>1017.7040946622179</v>
      </c>
      <c r="P30" s="3">
        <f t="shared" si="46"/>
        <v>1017.7040946622179</v>
      </c>
      <c r="Q30" s="3">
        <f t="shared" si="46"/>
        <v>1017.7040946622179</v>
      </c>
      <c r="R30" s="3">
        <f t="shared" si="46"/>
        <v>1017.7040946622179</v>
      </c>
    </row>
    <row r="31" spans="1:18" x14ac:dyDescent="0.3">
      <c r="A31" s="1" t="s">
        <v>9</v>
      </c>
      <c r="B31" s="1"/>
      <c r="C31" s="3">
        <f t="shared" ref="C31:C32" si="47">NPV($B$2,D31:R31)</f>
        <v>337778461.13071376</v>
      </c>
      <c r="D31" s="4">
        <f>D7</f>
        <v>-300245.27462176076</v>
      </c>
      <c r="E31" s="4">
        <f>E7</f>
        <v>-2414580.5917877825</v>
      </c>
      <c r="F31" s="4">
        <f t="shared" ref="F31" si="48">F$6-F30</f>
        <v>10509330.984639179</v>
      </c>
      <c r="G31" s="4">
        <f t="shared" ref="G31" si="49">G$6-G30</f>
        <v>21634808.06836326</v>
      </c>
      <c r="H31" s="4">
        <f t="shared" ref="H31" si="50">H$6-H30</f>
        <v>26086263.785678968</v>
      </c>
      <c r="I31" s="4">
        <f t="shared" ref="I31" si="51">I$6-I30</f>
        <v>33786418.069887482</v>
      </c>
      <c r="J31" s="4">
        <f t="shared" ref="J31" si="52">J$6-J30</f>
        <v>38633465.736402832</v>
      </c>
      <c r="K31" s="4">
        <f t="shared" ref="K31" si="53">K$6-K30</f>
        <v>52442139.166827276</v>
      </c>
      <c r="L31" s="4">
        <f t="shared" ref="L31" si="54">L$6-L30</f>
        <v>63955909.974038258</v>
      </c>
      <c r="M31" s="4">
        <f t="shared" ref="M31" si="55">M$6-M30</f>
        <v>63955909.974038258</v>
      </c>
      <c r="N31" s="4">
        <f t="shared" ref="N31" si="56">N$6-N30</f>
        <v>63955909.974038258</v>
      </c>
      <c r="O31" s="4">
        <f t="shared" ref="O31" si="57">O$6-O30</f>
        <v>63955909.974038258</v>
      </c>
      <c r="P31" s="4">
        <f t="shared" ref="P31" si="58">P$6-P30</f>
        <v>63955909.974038258</v>
      </c>
      <c r="Q31" s="4">
        <f t="shared" ref="Q31" si="59">Q$6-Q30</f>
        <v>63955909.974038258</v>
      </c>
      <c r="R31" s="4">
        <f t="shared" ref="R31" si="60">R$6-R30</f>
        <v>63955909.974038258</v>
      </c>
    </row>
    <row r="32" spans="1:18" x14ac:dyDescent="0.3">
      <c r="A32" s="1" t="s">
        <v>10</v>
      </c>
      <c r="B32" s="1"/>
      <c r="C32" s="3">
        <f t="shared" si="47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326621468.8802765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73" t="s">
        <v>42</v>
      </c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B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  <row r="40" spans="1:18" x14ac:dyDescent="0.3">
      <c r="D40">
        <v>7.6127098027829811</v>
      </c>
      <c r="E40">
        <v>61.221617438838294</v>
      </c>
      <c r="F40">
        <v>55.84821669014277</v>
      </c>
      <c r="G40">
        <v>44.463819225809502</v>
      </c>
      <c r="H40">
        <v>69.432552373413429</v>
      </c>
      <c r="I40">
        <v>107.34049657508233</v>
      </c>
      <c r="J40">
        <v>135.35714233430463</v>
      </c>
      <c r="K40">
        <v>231.77105564151572</v>
      </c>
      <c r="L40">
        <v>239.83463072642695</v>
      </c>
      <c r="M40">
        <v>239.83463072642695</v>
      </c>
      <c r="N40">
        <v>239.83463072642695</v>
      </c>
      <c r="O40">
        <v>239.83463072642695</v>
      </c>
      <c r="P40">
        <v>239.83463072642695</v>
      </c>
      <c r="Q40">
        <v>239.83463072642695</v>
      </c>
      <c r="R40">
        <v>239.83463072642695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22" activePane="bottomRight" state="frozen"/>
      <selection pane="topRight" activeCell="F1" sqref="F1"/>
      <selection pane="bottomLeft" activeCell="A4" sqref="A4"/>
      <selection pane="bottomRight" activeCell="D7" sqref="D7:R7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(BASE)'!$B$1*1.2</f>
        <v>47328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36</v>
      </c>
      <c r="B3" s="15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7.6127098027829811</v>
      </c>
      <c r="E5" s="16">
        <f>'Cost-Benefit (BASE)'!E5</f>
        <v>61.221617438838294</v>
      </c>
      <c r="F5" s="16">
        <f>'Cost-Benefit (BASE)'!F5</f>
        <v>266.46376735900554</v>
      </c>
      <c r="G5" s="16">
        <f>'Cost-Benefit (BASE)'!G5</f>
        <v>548.55675274543046</v>
      </c>
      <c r="H5" s="16">
        <f>'Cost-Benefit (BASE)'!H5</f>
        <v>661.42597581189511</v>
      </c>
      <c r="I5" s="16">
        <f>'Cost-Benefit (BASE)'!I5</f>
        <v>856.66278908046763</v>
      </c>
      <c r="J5" s="16">
        <f>'Cost-Benefit (BASE)'!J5</f>
        <v>979.56323044608644</v>
      </c>
      <c r="K5" s="16">
        <f>'Cost-Benefit (BASE)'!K5</f>
        <v>1329.6898118135464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411139287.46377927</v>
      </c>
      <c r="D6" s="3">
        <f>D5*$B$1</f>
        <v>360294.32954611292</v>
      </c>
      <c r="E6" s="3">
        <f t="shared" ref="E6:Q6" si="0">E5*$B$1</f>
        <v>2897496.7101453389</v>
      </c>
      <c r="F6" s="3">
        <f t="shared" si="0"/>
        <v>12611197.181567015</v>
      </c>
      <c r="G6" s="3">
        <f t="shared" si="0"/>
        <v>25962093.993935734</v>
      </c>
      <c r="H6" s="3">
        <f t="shared" si="0"/>
        <v>31303968.583225373</v>
      </c>
      <c r="I6" s="3">
        <f t="shared" si="0"/>
        <v>40544136.481600374</v>
      </c>
      <c r="J6" s="3">
        <f t="shared" si="0"/>
        <v>46360768.570552379</v>
      </c>
      <c r="K6" s="3">
        <f t="shared" si="0"/>
        <v>62931559.413511522</v>
      </c>
      <c r="L6" s="3">
        <f t="shared" si="0"/>
        <v>76748313.213759497</v>
      </c>
      <c r="M6" s="3">
        <f t="shared" si="0"/>
        <v>76748313.213759497</v>
      </c>
      <c r="N6" s="3">
        <f t="shared" si="0"/>
        <v>76748313.213759497</v>
      </c>
      <c r="O6" s="3">
        <f t="shared" si="0"/>
        <v>76748313.213759497</v>
      </c>
      <c r="P6" s="3">
        <f t="shared" si="0"/>
        <v>76748313.213759497</v>
      </c>
      <c r="Q6" s="3">
        <f t="shared" si="0"/>
        <v>76748313.213759497</v>
      </c>
      <c r="R6" s="3">
        <f t="shared" ref="R6" si="1">R5*$B$1</f>
        <v>76748313.213759497</v>
      </c>
    </row>
    <row r="7" spans="1:18" x14ac:dyDescent="0.3">
      <c r="A7" s="1" t="s">
        <v>9</v>
      </c>
      <c r="B7" s="1"/>
      <c r="C7" s="3">
        <f t="shared" ref="C7:C8" si="2">NPV($B$2,D7:R7)</f>
        <v>-411139287.46377927</v>
      </c>
      <c r="D7" s="4">
        <f>0-D6</f>
        <v>-360294.32954611292</v>
      </c>
      <c r="E7" s="4">
        <f t="shared" ref="E7:R7" si="3">0-E6</f>
        <v>-2897496.7101453389</v>
      </c>
      <c r="F7" s="4">
        <f t="shared" si="3"/>
        <v>-12611197.181567015</v>
      </c>
      <c r="G7" s="4">
        <f t="shared" si="3"/>
        <v>-25962093.993935734</v>
      </c>
      <c r="H7" s="4">
        <f t="shared" si="3"/>
        <v>-31303968.583225373</v>
      </c>
      <c r="I7" s="4">
        <f t="shared" si="3"/>
        <v>-40544136.481600374</v>
      </c>
      <c r="J7" s="4">
        <f t="shared" si="3"/>
        <v>-46360768.570552379</v>
      </c>
      <c r="K7" s="4">
        <f t="shared" si="3"/>
        <v>-62931559.413511522</v>
      </c>
      <c r="L7" s="4">
        <f t="shared" si="3"/>
        <v>-76748313.213759497</v>
      </c>
      <c r="M7" s="4">
        <f t="shared" si="3"/>
        <v>-76748313.213759497</v>
      </c>
      <c r="N7" s="4">
        <f t="shared" si="3"/>
        <v>-76748313.213759497</v>
      </c>
      <c r="O7" s="4">
        <f t="shared" si="3"/>
        <v>-76748313.213759497</v>
      </c>
      <c r="P7" s="4">
        <f t="shared" si="3"/>
        <v>-76748313.213759497</v>
      </c>
      <c r="Q7" s="4">
        <f t="shared" si="3"/>
        <v>-76748313.213759497</v>
      </c>
      <c r="R7" s="4">
        <f t="shared" si="3"/>
        <v>-76748313.213759497</v>
      </c>
    </row>
    <row r="8" spans="1:18" x14ac:dyDescent="0.3">
      <c r="A8" s="1" t="s">
        <v>10</v>
      </c>
      <c r="B8" s="1"/>
      <c r="C8" s="3">
        <f t="shared" si="2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-411139287.46377927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7.6127098027829811</v>
      </c>
      <c r="E11" s="16">
        <f>'Cost-Benefit (BASE)'!E11</f>
        <v>61.221617438838294</v>
      </c>
      <c r="F11" s="16">
        <f>'Cost-Benefit (BASE)'!F11</f>
        <v>1.0864178647283446E-2</v>
      </c>
      <c r="G11" s="16">
        <f>'Cost-Benefit (BASE)'!G11</f>
        <v>3.1785664937107994E-2</v>
      </c>
      <c r="H11" s="16">
        <f>'Cost-Benefit (BASE)'!H11</f>
        <v>4.4041428079019604E-2</v>
      </c>
      <c r="I11" s="16">
        <f>'Cost-Benefit (BASE)'!I11</f>
        <v>0.85906767601933787</v>
      </c>
      <c r="J11" s="16">
        <f>'Cost-Benefit (BASE)'!J11</f>
        <v>2.3244670348420327</v>
      </c>
      <c r="K11" s="16">
        <f>'Cost-Benefit (BASE)'!K11</f>
        <v>6.7993708357099534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4794645.8331528585</v>
      </c>
      <c r="D12" s="3">
        <f>D11*$B$1</f>
        <v>360294.32954611292</v>
      </c>
      <c r="E12" s="3">
        <f t="shared" ref="E12:R12" si="4">E11*$B$1</f>
        <v>2897496.7101453389</v>
      </c>
      <c r="F12" s="3">
        <f t="shared" si="4"/>
        <v>514.17984701863088</v>
      </c>
      <c r="G12" s="3">
        <f t="shared" si="4"/>
        <v>1504.3519501434471</v>
      </c>
      <c r="H12" s="3">
        <f t="shared" si="4"/>
        <v>2084.3927081238398</v>
      </c>
      <c r="I12" s="3">
        <f t="shared" si="4"/>
        <v>40657.954970643223</v>
      </c>
      <c r="J12" s="3">
        <f t="shared" si="4"/>
        <v>110012.37582500372</v>
      </c>
      <c r="K12" s="3">
        <f t="shared" si="4"/>
        <v>321800.62291248067</v>
      </c>
      <c r="L12" s="3">
        <f t="shared" si="4"/>
        <v>474777.6874056001</v>
      </c>
      <c r="M12" s="3">
        <f t="shared" si="4"/>
        <v>474777.6874056001</v>
      </c>
      <c r="N12" s="3">
        <f t="shared" si="4"/>
        <v>474777.6874056001</v>
      </c>
      <c r="O12" s="3">
        <f t="shared" si="4"/>
        <v>474777.6874056001</v>
      </c>
      <c r="P12" s="3">
        <f t="shared" si="4"/>
        <v>474777.6874056001</v>
      </c>
      <c r="Q12" s="3">
        <f t="shared" si="4"/>
        <v>474777.6874056001</v>
      </c>
      <c r="R12" s="3">
        <f t="shared" si="4"/>
        <v>474777.6874056001</v>
      </c>
    </row>
    <row r="13" spans="1:18" x14ac:dyDescent="0.3">
      <c r="A13" s="1" t="s">
        <v>9</v>
      </c>
      <c r="B13" s="1"/>
      <c r="C13" s="3">
        <f t="shared" ref="C13:C14" si="5">NPV($B$2,D13:R13)</f>
        <v>406344641.63062644</v>
      </c>
      <c r="D13" s="4">
        <f>D$6-D12</f>
        <v>0</v>
      </c>
      <c r="E13" s="4">
        <f t="shared" ref="E13:R13" si="6">E$6-E12</f>
        <v>0</v>
      </c>
      <c r="F13" s="4">
        <f t="shared" si="6"/>
        <v>12610683.001719996</v>
      </c>
      <c r="G13" s="4">
        <f t="shared" si="6"/>
        <v>25960589.641985592</v>
      </c>
      <c r="H13" s="4">
        <f t="shared" si="6"/>
        <v>31301884.19051725</v>
      </c>
      <c r="I13" s="4">
        <f t="shared" si="6"/>
        <v>40503478.526629731</v>
      </c>
      <c r="J13" s="4">
        <f t="shared" si="6"/>
        <v>46250756.194727376</v>
      </c>
      <c r="K13" s="4">
        <f t="shared" si="6"/>
        <v>62609758.790599041</v>
      </c>
      <c r="L13" s="4">
        <f t="shared" si="6"/>
        <v>76273535.526353896</v>
      </c>
      <c r="M13" s="4">
        <f t="shared" si="6"/>
        <v>76273535.526353896</v>
      </c>
      <c r="N13" s="4">
        <f t="shared" si="6"/>
        <v>76273535.526353896</v>
      </c>
      <c r="O13" s="4">
        <f t="shared" si="6"/>
        <v>76273535.526353896</v>
      </c>
      <c r="P13" s="4">
        <f t="shared" si="6"/>
        <v>76273535.526353896</v>
      </c>
      <c r="Q13" s="4">
        <f t="shared" si="6"/>
        <v>76273535.526353896</v>
      </c>
      <c r="R13" s="4">
        <f t="shared" si="6"/>
        <v>76273535.526353896</v>
      </c>
    </row>
    <row r="14" spans="1:18" x14ac:dyDescent="0.3">
      <c r="A14" s="1" t="s">
        <v>10</v>
      </c>
      <c r="B14" s="1"/>
      <c r="C14" s="3">
        <f t="shared" si="5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392350001.94078642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7.6127098027829811</v>
      </c>
      <c r="E17" s="16">
        <f>'Cost-Benefit (BASE)'!E17</f>
        <v>61.221617438838294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2899624.9933356666</v>
      </c>
      <c r="D18" s="3">
        <f>D17*$B$1</f>
        <v>360294.32954611292</v>
      </c>
      <c r="E18" s="3">
        <f t="shared" ref="E18:R18" si="7">E17*$B$1</f>
        <v>2897496.7101453389</v>
      </c>
      <c r="F18" s="3">
        <f t="shared" si="7"/>
        <v>0</v>
      </c>
      <c r="G18" s="3">
        <f t="shared" si="7"/>
        <v>0</v>
      </c>
      <c r="H18" s="3">
        <f t="shared" si="7"/>
        <v>0</v>
      </c>
      <c r="I18" s="3">
        <f t="shared" si="7"/>
        <v>0</v>
      </c>
      <c r="J18" s="3">
        <f t="shared" si="7"/>
        <v>0</v>
      </c>
      <c r="K18" s="3">
        <f t="shared" si="7"/>
        <v>0</v>
      </c>
      <c r="L18" s="3">
        <f t="shared" si="7"/>
        <v>16.091520000000003</v>
      </c>
      <c r="M18" s="3">
        <f t="shared" si="7"/>
        <v>16.091520000000003</v>
      </c>
      <c r="N18" s="3">
        <f t="shared" si="7"/>
        <v>16.091520000000003</v>
      </c>
      <c r="O18" s="3">
        <f t="shared" si="7"/>
        <v>16.091520000000003</v>
      </c>
      <c r="P18" s="3">
        <f t="shared" si="7"/>
        <v>16.091520000000003</v>
      </c>
      <c r="Q18" s="3">
        <f t="shared" si="7"/>
        <v>16.091520000000003</v>
      </c>
      <c r="R18" s="3">
        <f t="shared" si="7"/>
        <v>16.091520000000003</v>
      </c>
    </row>
    <row r="19" spans="1:18" x14ac:dyDescent="0.3">
      <c r="A19" s="1" t="s">
        <v>9</v>
      </c>
      <c r="B19" s="1"/>
      <c r="C19" s="3">
        <f t="shared" ref="C19:C20" si="8">NPV($B$2,D19:R19)</f>
        <v>408239662.47044367</v>
      </c>
      <c r="D19" s="4">
        <f>D$6-D18</f>
        <v>0</v>
      </c>
      <c r="E19" s="4">
        <f t="shared" ref="E19:R19" si="9">E$6-E18</f>
        <v>0</v>
      </c>
      <c r="F19" s="4">
        <f t="shared" si="9"/>
        <v>12611197.181567015</v>
      </c>
      <c r="G19" s="4">
        <f t="shared" si="9"/>
        <v>25962093.993935734</v>
      </c>
      <c r="H19" s="4">
        <f t="shared" si="9"/>
        <v>31303968.583225373</v>
      </c>
      <c r="I19" s="4">
        <f t="shared" si="9"/>
        <v>40544136.481600374</v>
      </c>
      <c r="J19" s="4">
        <f t="shared" si="9"/>
        <v>46360768.570552379</v>
      </c>
      <c r="K19" s="4">
        <f t="shared" si="9"/>
        <v>62931559.413511522</v>
      </c>
      <c r="L19" s="4">
        <f t="shared" si="9"/>
        <v>76748297.1222395</v>
      </c>
      <c r="M19" s="4">
        <f t="shared" si="9"/>
        <v>76748297.1222395</v>
      </c>
      <c r="N19" s="4">
        <f t="shared" si="9"/>
        <v>76748297.1222395</v>
      </c>
      <c r="O19" s="4">
        <f t="shared" si="9"/>
        <v>76748297.1222395</v>
      </c>
      <c r="P19" s="4">
        <f t="shared" si="9"/>
        <v>76748297.1222395</v>
      </c>
      <c r="Q19" s="4">
        <f t="shared" si="9"/>
        <v>76748297.1222395</v>
      </c>
      <c r="R19" s="4">
        <f t="shared" si="9"/>
        <v>76748297.1222395</v>
      </c>
    </row>
    <row r="20" spans="1:18" x14ac:dyDescent="0.3">
      <c r="A20" s="1" t="s">
        <v>10</v>
      </c>
      <c r="B20" s="1"/>
      <c r="C20" s="3">
        <f t="shared" si="8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391793499.53669858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7.6127098027829811</v>
      </c>
      <c r="E23" s="16">
        <f>'Cost-Benefit (BASE)'!E23</f>
        <v>61.221617438838294</v>
      </c>
      <c r="F23" s="16">
        <f>'Cost-Benefit (BASE)'!F23</f>
        <v>55.84821669014277</v>
      </c>
      <c r="G23" s="16">
        <f>'Cost-Benefit (BASE)'!G23</f>
        <v>44.463819225809502</v>
      </c>
      <c r="H23" s="16">
        <f>'Cost-Benefit (BASE)'!H23</f>
        <v>69.432552373413429</v>
      </c>
      <c r="I23" s="16">
        <f>'Cost-Benefit (BASE)'!I23</f>
        <v>107.34049657508233</v>
      </c>
      <c r="J23" s="16">
        <f>'Cost-Benefit (BASE)'!J23</f>
        <v>135.35714233430463</v>
      </c>
      <c r="K23" s="16">
        <f>'Cost-Benefit (BASE)'!K23</f>
        <v>231.77105564151572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61670559.75397379</v>
      </c>
      <c r="D24" s="3">
        <f>D23*$B$1</f>
        <v>360294.32954611292</v>
      </c>
      <c r="E24" s="3">
        <f t="shared" ref="E24:R24" si="10">E23*$B$1</f>
        <v>2897496.7101453389</v>
      </c>
      <c r="F24" s="3">
        <f t="shared" si="10"/>
        <v>2643184.399511077</v>
      </c>
      <c r="G24" s="3">
        <f t="shared" si="10"/>
        <v>2104383.636319112</v>
      </c>
      <c r="H24" s="3">
        <f t="shared" si="10"/>
        <v>3286103.8387289108</v>
      </c>
      <c r="I24" s="3">
        <f t="shared" si="10"/>
        <v>5080211.0219054967</v>
      </c>
      <c r="J24" s="3">
        <f t="shared" si="10"/>
        <v>6406182.8323979694</v>
      </c>
      <c r="K24" s="3">
        <f t="shared" si="10"/>
        <v>10969260.521401655</v>
      </c>
      <c r="L24" s="3">
        <f t="shared" si="10"/>
        <v>11350893.403020335</v>
      </c>
      <c r="M24" s="3">
        <f t="shared" si="10"/>
        <v>11350893.403020335</v>
      </c>
      <c r="N24" s="3">
        <f t="shared" si="10"/>
        <v>11350893.403020335</v>
      </c>
      <c r="O24" s="3">
        <f t="shared" si="10"/>
        <v>11350893.403020335</v>
      </c>
      <c r="P24" s="3">
        <f t="shared" si="10"/>
        <v>11350893.403020335</v>
      </c>
      <c r="Q24" s="3">
        <f t="shared" si="10"/>
        <v>11350893.403020335</v>
      </c>
      <c r="R24" s="3">
        <f t="shared" si="10"/>
        <v>11350893.403020335</v>
      </c>
    </row>
    <row r="25" spans="1:18" x14ac:dyDescent="0.3">
      <c r="A25" s="1" t="s">
        <v>9</v>
      </c>
      <c r="B25" s="1"/>
      <c r="C25" s="3">
        <f t="shared" ref="C25:C26" si="11">NPV($B$2,D25:R25)</f>
        <v>349468727.70980555</v>
      </c>
      <c r="D25" s="4">
        <f>D$6-D24</f>
        <v>0</v>
      </c>
      <c r="E25" s="4">
        <f t="shared" ref="E25:R25" si="12">E$6-E24</f>
        <v>0</v>
      </c>
      <c r="F25" s="4">
        <f t="shared" si="12"/>
        <v>9968012.7820559386</v>
      </c>
      <c r="G25" s="4">
        <f t="shared" si="12"/>
        <v>23857710.357616622</v>
      </c>
      <c r="H25" s="4">
        <f t="shared" si="12"/>
        <v>28017864.744496461</v>
      </c>
      <c r="I25" s="4">
        <f t="shared" si="12"/>
        <v>35463925.459694877</v>
      </c>
      <c r="J25" s="4">
        <f t="shared" si="12"/>
        <v>39954585.738154411</v>
      </c>
      <c r="K25" s="4">
        <f t="shared" si="12"/>
        <v>51962298.892109871</v>
      </c>
      <c r="L25" s="4">
        <f t="shared" si="12"/>
        <v>65397419.81073916</v>
      </c>
      <c r="M25" s="4">
        <f t="shared" si="12"/>
        <v>65397419.81073916</v>
      </c>
      <c r="N25" s="4">
        <f t="shared" si="12"/>
        <v>65397419.81073916</v>
      </c>
      <c r="O25" s="4">
        <f t="shared" si="12"/>
        <v>65397419.81073916</v>
      </c>
      <c r="P25" s="4">
        <f t="shared" si="12"/>
        <v>65397419.81073916</v>
      </c>
      <c r="Q25" s="4">
        <f t="shared" si="12"/>
        <v>65397419.81073916</v>
      </c>
      <c r="R25" s="4">
        <f t="shared" si="12"/>
        <v>65397419.81073916</v>
      </c>
    </row>
    <row r="26" spans="1:18" x14ac:dyDescent="0.3">
      <c r="A26" s="1" t="s">
        <v>10</v>
      </c>
      <c r="B26" s="1"/>
      <c r="C26" s="3">
        <f t="shared" si="11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343429769.00536984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7.6127098027829811</v>
      </c>
      <c r="E29" s="16">
        <f>'Cost-Benefit (BASE)'!E29</f>
        <v>61.221617438838294</v>
      </c>
      <c r="F29" s="16">
        <f>'Cost-Benefit (BASE)'!F29</f>
        <v>0</v>
      </c>
      <c r="G29" s="16">
        <f>'Cost-Benefit (BASE)'!G29</f>
        <v>6.8524319604007754E-3</v>
      </c>
      <c r="H29" s="16">
        <f>'Cost-Benefit (BASE)'!H29</f>
        <v>9.551225714358038E-3</v>
      </c>
      <c r="I29" s="16">
        <f>'Cost-Benefit (BASE)'!I29</f>
        <v>9.1869027932518811E-3</v>
      </c>
      <c r="J29" s="16">
        <f>'Cost-Benefit (BASE)'!J29</f>
        <v>1.288216001050644E-2</v>
      </c>
      <c r="K29" s="16">
        <f>'Cost-Benefit (BASE)'!K29</f>
        <v>2.0968841252468871E-2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2905563.2104773037</v>
      </c>
      <c r="D30" s="3">
        <f>D29*$B$1</f>
        <v>360294.32954611292</v>
      </c>
      <c r="E30" s="3">
        <f t="shared" ref="E30:R30" si="13">E29*$B$1</f>
        <v>2897496.7101453389</v>
      </c>
      <c r="F30" s="3">
        <f t="shared" si="13"/>
        <v>0</v>
      </c>
      <c r="G30" s="3">
        <f t="shared" si="13"/>
        <v>324.31189982184787</v>
      </c>
      <c r="H30" s="3">
        <f t="shared" si="13"/>
        <v>452.04041060913721</v>
      </c>
      <c r="I30" s="3">
        <f t="shared" si="13"/>
        <v>434.79773539902504</v>
      </c>
      <c r="J30" s="3">
        <f t="shared" si="13"/>
        <v>609.68686897724876</v>
      </c>
      <c r="K30" s="3">
        <f t="shared" si="13"/>
        <v>992.41331879684674</v>
      </c>
      <c r="L30" s="3">
        <f t="shared" si="13"/>
        <v>1221.2449135946615</v>
      </c>
      <c r="M30" s="3">
        <f t="shared" si="13"/>
        <v>1221.2449135946615</v>
      </c>
      <c r="N30" s="3">
        <f t="shared" si="13"/>
        <v>1221.2449135946615</v>
      </c>
      <c r="O30" s="3">
        <f t="shared" si="13"/>
        <v>1221.2449135946615</v>
      </c>
      <c r="P30" s="3">
        <f t="shared" si="13"/>
        <v>1221.2449135946615</v>
      </c>
      <c r="Q30" s="3">
        <f t="shared" si="13"/>
        <v>1221.2449135946615</v>
      </c>
      <c r="R30" s="3">
        <f t="shared" si="13"/>
        <v>1221.2449135946615</v>
      </c>
    </row>
    <row r="31" spans="1:18" x14ac:dyDescent="0.3">
      <c r="A31" s="1" t="s">
        <v>9</v>
      </c>
      <c r="B31" s="1"/>
      <c r="C31" s="3">
        <f t="shared" ref="C31:C32" si="14">NPV($B$2,D31:R31)</f>
        <v>408233724.25330198</v>
      </c>
      <c r="D31" s="4">
        <f>D$6-D30</f>
        <v>0</v>
      </c>
      <c r="E31" s="4">
        <f t="shared" ref="E31:R31" si="15">E$6-E30</f>
        <v>0</v>
      </c>
      <c r="F31" s="4">
        <f t="shared" si="15"/>
        <v>12611197.181567015</v>
      </c>
      <c r="G31" s="4">
        <f t="shared" si="15"/>
        <v>25961769.682035912</v>
      </c>
      <c r="H31" s="4">
        <f t="shared" si="15"/>
        <v>31303516.542814765</v>
      </c>
      <c r="I31" s="4">
        <f t="shared" si="15"/>
        <v>40543701.683864973</v>
      </c>
      <c r="J31" s="4">
        <f t="shared" si="15"/>
        <v>46360158.883683398</v>
      </c>
      <c r="K31" s="4">
        <f t="shared" si="15"/>
        <v>62930567.000192724</v>
      </c>
      <c r="L31" s="4">
        <f t="shared" si="15"/>
        <v>76747091.968845904</v>
      </c>
      <c r="M31" s="4">
        <f t="shared" si="15"/>
        <v>76747091.968845904</v>
      </c>
      <c r="N31" s="4">
        <f t="shared" si="15"/>
        <v>76747091.968845904</v>
      </c>
      <c r="O31" s="4">
        <f t="shared" si="15"/>
        <v>76747091.968845904</v>
      </c>
      <c r="P31" s="4">
        <f t="shared" si="15"/>
        <v>76747091.968845904</v>
      </c>
      <c r="Q31" s="4">
        <f t="shared" si="15"/>
        <v>76747091.968845904</v>
      </c>
      <c r="R31" s="4">
        <f t="shared" si="15"/>
        <v>76747091.968845904</v>
      </c>
    </row>
    <row r="32" spans="1:18" x14ac:dyDescent="0.3">
      <c r="A32" s="1" t="s">
        <v>10</v>
      </c>
      <c r="B32" s="1"/>
      <c r="C32" s="3">
        <f t="shared" si="14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397076732.00286472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G9" sqref="G9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(BASE)'!$B$1*0.8</f>
        <v>31552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7.6127098027829811</v>
      </c>
      <c r="E5" s="16">
        <f>'Cost-Benefit (BASE)'!E5</f>
        <v>61.221617438838294</v>
      </c>
      <c r="F5" s="16">
        <f>'Cost-Benefit (BASE)'!F5</f>
        <v>266.46376735900554</v>
      </c>
      <c r="G5" s="16">
        <f>'Cost-Benefit (BASE)'!G5</f>
        <v>548.55675274543046</v>
      </c>
      <c r="H5" s="16">
        <f>'Cost-Benefit (BASE)'!H5</f>
        <v>661.42597581189511</v>
      </c>
      <c r="I5" s="16">
        <f>'Cost-Benefit (BASE)'!I5</f>
        <v>856.66278908046763</v>
      </c>
      <c r="J5" s="16">
        <f>'Cost-Benefit (BASE)'!J5</f>
        <v>979.56323044608644</v>
      </c>
      <c r="K5" s="16">
        <f>'Cost-Benefit (BASE)'!K5</f>
        <v>1329.6898118135464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274092858.30918628</v>
      </c>
      <c r="D6" s="3">
        <f>D5*$B$1</f>
        <v>240196.21969740861</v>
      </c>
      <c r="E6" s="3">
        <f t="shared" ref="E6:R6" si="0">E5*$B$1</f>
        <v>1931664.4734302259</v>
      </c>
      <c r="F6" s="3">
        <f t="shared" si="0"/>
        <v>8407464.7877113428</v>
      </c>
      <c r="G6" s="3">
        <f t="shared" si="0"/>
        <v>17308062.662623823</v>
      </c>
      <c r="H6" s="3">
        <f t="shared" si="0"/>
        <v>20869312.388816915</v>
      </c>
      <c r="I6" s="3">
        <f t="shared" si="0"/>
        <v>27029424.321066916</v>
      </c>
      <c r="J6" s="3">
        <f t="shared" si="0"/>
        <v>30907179.047034919</v>
      </c>
      <c r="K6" s="3">
        <f t="shared" si="0"/>
        <v>41954372.942341015</v>
      </c>
      <c r="L6" s="3">
        <f t="shared" si="0"/>
        <v>51165542.142506331</v>
      </c>
      <c r="M6" s="3">
        <f t="shared" si="0"/>
        <v>51165542.142506331</v>
      </c>
      <c r="N6" s="3">
        <f t="shared" si="0"/>
        <v>51165542.142506331</v>
      </c>
      <c r="O6" s="3">
        <f t="shared" si="0"/>
        <v>51165542.142506331</v>
      </c>
      <c r="P6" s="3">
        <f t="shared" si="0"/>
        <v>51165542.142506331</v>
      </c>
      <c r="Q6" s="3">
        <f t="shared" si="0"/>
        <v>51165542.142506331</v>
      </c>
      <c r="R6" s="3">
        <f t="shared" si="0"/>
        <v>51165542.142506331</v>
      </c>
    </row>
    <row r="7" spans="1:18" x14ac:dyDescent="0.3">
      <c r="A7" s="1" t="s">
        <v>9</v>
      </c>
      <c r="B7" s="1"/>
      <c r="C7" s="3">
        <f t="shared" ref="C7:C8" si="1">NPV($B$2,D7:R7)</f>
        <v>-274092858.30918628</v>
      </c>
      <c r="D7" s="4">
        <f>0-D6</f>
        <v>-240196.21969740861</v>
      </c>
      <c r="E7" s="4">
        <f t="shared" ref="E7:R7" si="2">0-E6</f>
        <v>-1931664.4734302259</v>
      </c>
      <c r="F7" s="4">
        <f t="shared" si="2"/>
        <v>-8407464.7877113428</v>
      </c>
      <c r="G7" s="4">
        <f t="shared" si="2"/>
        <v>-17308062.662623823</v>
      </c>
      <c r="H7" s="4">
        <f t="shared" si="2"/>
        <v>-20869312.388816915</v>
      </c>
      <c r="I7" s="4">
        <f t="shared" si="2"/>
        <v>-27029424.321066916</v>
      </c>
      <c r="J7" s="4">
        <f t="shared" si="2"/>
        <v>-30907179.047034919</v>
      </c>
      <c r="K7" s="4">
        <f t="shared" si="2"/>
        <v>-41954372.942341015</v>
      </c>
      <c r="L7" s="4">
        <f t="shared" si="2"/>
        <v>-51165542.142506331</v>
      </c>
      <c r="M7" s="4">
        <f t="shared" si="2"/>
        <v>-51165542.142506331</v>
      </c>
      <c r="N7" s="4">
        <f t="shared" si="2"/>
        <v>-51165542.142506331</v>
      </c>
      <c r="O7" s="4">
        <f t="shared" si="2"/>
        <v>-51165542.142506331</v>
      </c>
      <c r="P7" s="4">
        <f t="shared" si="2"/>
        <v>-51165542.142506331</v>
      </c>
      <c r="Q7" s="4">
        <f t="shared" si="2"/>
        <v>-51165542.142506331</v>
      </c>
      <c r="R7" s="4">
        <f t="shared" si="2"/>
        <v>-51165542.142506331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-274092858.30918628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7.6127098027829811</v>
      </c>
      <c r="E11" s="16">
        <f>'Cost-Benefit (BASE)'!E11</f>
        <v>61.221617438838294</v>
      </c>
      <c r="F11" s="16">
        <f>'Cost-Benefit (BASE)'!F11</f>
        <v>1.0864178647283446E-2</v>
      </c>
      <c r="G11" s="16">
        <f>'Cost-Benefit (BASE)'!G11</f>
        <v>3.1785664937107994E-2</v>
      </c>
      <c r="H11" s="16">
        <f>'Cost-Benefit (BASE)'!H11</f>
        <v>4.4041428079019604E-2</v>
      </c>
      <c r="I11" s="16">
        <f>'Cost-Benefit (BASE)'!I11</f>
        <v>0.85906767601933787</v>
      </c>
      <c r="J11" s="16">
        <f>'Cost-Benefit (BASE)'!J11</f>
        <v>2.3244670348420327</v>
      </c>
      <c r="K11" s="16">
        <f>'Cost-Benefit (BASE)'!K11</f>
        <v>6.7993708357099534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3196430.5554352398</v>
      </c>
      <c r="D12" s="3">
        <f>D11*$B$1</f>
        <v>240196.21969740861</v>
      </c>
      <c r="E12" s="3">
        <f t="shared" ref="E12:R12" si="3">E11*$B$1</f>
        <v>1931664.4734302259</v>
      </c>
      <c r="F12" s="3">
        <f t="shared" si="3"/>
        <v>342.78656467908729</v>
      </c>
      <c r="G12" s="3">
        <f t="shared" si="3"/>
        <v>1002.9013000956314</v>
      </c>
      <c r="H12" s="3">
        <f t="shared" si="3"/>
        <v>1389.5951387492266</v>
      </c>
      <c r="I12" s="3">
        <f t="shared" si="3"/>
        <v>27105.30331376215</v>
      </c>
      <c r="J12" s="3">
        <f t="shared" si="3"/>
        <v>73341.583883335814</v>
      </c>
      <c r="K12" s="3">
        <f t="shared" si="3"/>
        <v>214533.74860832046</v>
      </c>
      <c r="L12" s="3">
        <f t="shared" si="3"/>
        <v>316518.45827040006</v>
      </c>
      <c r="M12" s="3">
        <f t="shared" si="3"/>
        <v>316518.45827040006</v>
      </c>
      <c r="N12" s="3">
        <f t="shared" si="3"/>
        <v>316518.45827040006</v>
      </c>
      <c r="O12" s="3">
        <f t="shared" si="3"/>
        <v>316518.45827040006</v>
      </c>
      <c r="P12" s="3">
        <f t="shared" si="3"/>
        <v>316518.45827040006</v>
      </c>
      <c r="Q12" s="3">
        <f t="shared" si="3"/>
        <v>316518.45827040006</v>
      </c>
      <c r="R12" s="3">
        <f t="shared" si="3"/>
        <v>316518.45827040006</v>
      </c>
    </row>
    <row r="13" spans="1:18" x14ac:dyDescent="0.3">
      <c r="A13" s="1" t="s">
        <v>9</v>
      </c>
      <c r="B13" s="1"/>
      <c r="C13" s="3">
        <f t="shared" ref="C13:C14" si="4">NPV($B$2,D13:R13)</f>
        <v>270896427.75375098</v>
      </c>
      <c r="D13" s="4">
        <f>D$6-D12</f>
        <v>0</v>
      </c>
      <c r="E13" s="4">
        <f t="shared" ref="E13:R13" si="5">E$6-E12</f>
        <v>0</v>
      </c>
      <c r="F13" s="4">
        <f t="shared" si="5"/>
        <v>8407122.001146663</v>
      </c>
      <c r="G13" s="4">
        <f t="shared" si="5"/>
        <v>17307059.761323728</v>
      </c>
      <c r="H13" s="4">
        <f t="shared" si="5"/>
        <v>20867922.793678164</v>
      </c>
      <c r="I13" s="4">
        <f t="shared" si="5"/>
        <v>27002319.017753154</v>
      </c>
      <c r="J13" s="4">
        <f t="shared" si="5"/>
        <v>30833837.463151582</v>
      </c>
      <c r="K13" s="4">
        <f t="shared" si="5"/>
        <v>41739839.193732694</v>
      </c>
      <c r="L13" s="4">
        <f t="shared" si="5"/>
        <v>50849023.68423593</v>
      </c>
      <c r="M13" s="4">
        <f t="shared" si="5"/>
        <v>50849023.68423593</v>
      </c>
      <c r="N13" s="4">
        <f t="shared" si="5"/>
        <v>50849023.68423593</v>
      </c>
      <c r="O13" s="4">
        <f t="shared" si="5"/>
        <v>50849023.68423593</v>
      </c>
      <c r="P13" s="4">
        <f t="shared" si="5"/>
        <v>50849023.68423593</v>
      </c>
      <c r="Q13" s="4">
        <f t="shared" si="5"/>
        <v>50849023.68423593</v>
      </c>
      <c r="R13" s="4">
        <f t="shared" si="5"/>
        <v>50849023.68423593</v>
      </c>
    </row>
    <row r="14" spans="1:18" x14ac:dyDescent="0.3">
      <c r="A14" s="1" t="s">
        <v>10</v>
      </c>
      <c r="B14" s="1"/>
      <c r="C14" s="3">
        <f t="shared" si="4"/>
        <v>13994639.689840034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256901788.06391096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7.6127098027829811</v>
      </c>
      <c r="E17" s="16">
        <f>'Cost-Benefit (BASE)'!E17</f>
        <v>61.221617438838294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1933083.3288904445</v>
      </c>
      <c r="D18" s="3">
        <f>D17*$B$1</f>
        <v>240196.21969740861</v>
      </c>
      <c r="E18" s="3">
        <f t="shared" ref="E18:R18" si="6">E17*$B$1</f>
        <v>1931664.4734302259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10.727680000000001</v>
      </c>
      <c r="M18" s="3">
        <f t="shared" si="6"/>
        <v>10.727680000000001</v>
      </c>
      <c r="N18" s="3">
        <f t="shared" si="6"/>
        <v>10.727680000000001</v>
      </c>
      <c r="O18" s="3">
        <f t="shared" si="6"/>
        <v>10.727680000000001</v>
      </c>
      <c r="P18" s="3">
        <f t="shared" si="6"/>
        <v>10.727680000000001</v>
      </c>
      <c r="Q18" s="3">
        <f t="shared" si="6"/>
        <v>10.727680000000001</v>
      </c>
      <c r="R18" s="3">
        <f t="shared" si="6"/>
        <v>10.727680000000001</v>
      </c>
    </row>
    <row r="19" spans="1:18" x14ac:dyDescent="0.3">
      <c r="A19" s="1" t="s">
        <v>9</v>
      </c>
      <c r="B19" s="1"/>
      <c r="C19" s="3">
        <f t="shared" ref="C19:C20" si="7">NPV($B$2,D19:R19)</f>
        <v>272159774.98029578</v>
      </c>
      <c r="D19" s="4">
        <f>D$6-D18</f>
        <v>0</v>
      </c>
      <c r="E19" s="4">
        <f t="shared" ref="E19:R19" si="8">E$6-E18</f>
        <v>0</v>
      </c>
      <c r="F19" s="4">
        <f t="shared" si="8"/>
        <v>8407464.7877113428</v>
      </c>
      <c r="G19" s="4">
        <f t="shared" si="8"/>
        <v>17308062.662623823</v>
      </c>
      <c r="H19" s="4">
        <f t="shared" si="8"/>
        <v>20869312.388816915</v>
      </c>
      <c r="I19" s="4">
        <f t="shared" si="8"/>
        <v>27029424.321066916</v>
      </c>
      <c r="J19" s="4">
        <f t="shared" si="8"/>
        <v>30907179.047034919</v>
      </c>
      <c r="K19" s="4">
        <f t="shared" si="8"/>
        <v>41954372.942341015</v>
      </c>
      <c r="L19" s="4">
        <f t="shared" si="8"/>
        <v>51165531.414826334</v>
      </c>
      <c r="M19" s="4">
        <f t="shared" si="8"/>
        <v>51165531.414826334</v>
      </c>
      <c r="N19" s="4">
        <f t="shared" si="8"/>
        <v>51165531.414826334</v>
      </c>
      <c r="O19" s="4">
        <f t="shared" si="8"/>
        <v>51165531.414826334</v>
      </c>
      <c r="P19" s="4">
        <f t="shared" si="8"/>
        <v>51165531.414826334</v>
      </c>
      <c r="Q19" s="4">
        <f t="shared" si="8"/>
        <v>51165531.414826334</v>
      </c>
      <c r="R19" s="4">
        <f t="shared" si="8"/>
        <v>51165531.414826334</v>
      </c>
    </row>
    <row r="20" spans="1:18" x14ac:dyDescent="0.3">
      <c r="A20" s="1" t="s">
        <v>10</v>
      </c>
      <c r="B20" s="1"/>
      <c r="C20" s="3">
        <f t="shared" si="7"/>
        <v>16446162.933745109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255713612.04655066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7.6127098027829811</v>
      </c>
      <c r="E23" s="16">
        <f>'Cost-Benefit (BASE)'!E23</f>
        <v>61.221617438838294</v>
      </c>
      <c r="F23" s="16">
        <f>'Cost-Benefit (BASE)'!F23</f>
        <v>55.84821669014277</v>
      </c>
      <c r="G23" s="16">
        <f>'Cost-Benefit (BASE)'!G23</f>
        <v>44.463819225809502</v>
      </c>
      <c r="H23" s="16">
        <f>'Cost-Benefit (BASE)'!H23</f>
        <v>69.432552373413429</v>
      </c>
      <c r="I23" s="16">
        <f>'Cost-Benefit (BASE)'!I23</f>
        <v>107.34049657508233</v>
      </c>
      <c r="J23" s="16">
        <f>'Cost-Benefit (BASE)'!J23</f>
        <v>135.35714233430463</v>
      </c>
      <c r="K23" s="16">
        <f>'Cost-Benefit (BASE)'!K23</f>
        <v>231.77105564151572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41113706.502649188</v>
      </c>
      <c r="D24" s="3">
        <f>D23*$B$1</f>
        <v>240196.21969740861</v>
      </c>
      <c r="E24" s="3">
        <f t="shared" ref="E24:R24" si="9">E23*$B$1</f>
        <v>1931664.4734302259</v>
      </c>
      <c r="F24" s="3">
        <f t="shared" si="9"/>
        <v>1762122.9330073847</v>
      </c>
      <c r="G24" s="3">
        <f t="shared" si="9"/>
        <v>1402922.4242127414</v>
      </c>
      <c r="H24" s="3">
        <f t="shared" si="9"/>
        <v>2190735.8924859404</v>
      </c>
      <c r="I24" s="3">
        <f t="shared" si="9"/>
        <v>3386807.3479369977</v>
      </c>
      <c r="J24" s="3">
        <f t="shared" si="9"/>
        <v>4270788.5549319796</v>
      </c>
      <c r="K24" s="3">
        <f t="shared" si="9"/>
        <v>7312840.3476011036</v>
      </c>
      <c r="L24" s="3">
        <f t="shared" si="9"/>
        <v>7567262.2686802233</v>
      </c>
      <c r="M24" s="3">
        <f t="shared" si="9"/>
        <v>7567262.2686802233</v>
      </c>
      <c r="N24" s="3">
        <f t="shared" si="9"/>
        <v>7567262.2686802233</v>
      </c>
      <c r="O24" s="3">
        <f t="shared" si="9"/>
        <v>7567262.2686802233</v>
      </c>
      <c r="P24" s="3">
        <f t="shared" si="9"/>
        <v>7567262.2686802233</v>
      </c>
      <c r="Q24" s="3">
        <f t="shared" si="9"/>
        <v>7567262.2686802233</v>
      </c>
      <c r="R24" s="3">
        <f t="shared" si="9"/>
        <v>7567262.2686802233</v>
      </c>
    </row>
    <row r="25" spans="1:18" x14ac:dyDescent="0.3">
      <c r="A25" s="1" t="s">
        <v>9</v>
      </c>
      <c r="B25" s="1"/>
      <c r="C25" s="3">
        <f t="shared" ref="C25:C26" si="10">NPV($B$2,D25:R25)</f>
        <v>232979151.806537</v>
      </c>
      <c r="D25" s="4">
        <f>D$6-D24</f>
        <v>0</v>
      </c>
      <c r="E25" s="4">
        <f t="shared" ref="E25:R25" si="11">E$6-E24</f>
        <v>0</v>
      </c>
      <c r="F25" s="4">
        <f t="shared" si="11"/>
        <v>6645341.8547039581</v>
      </c>
      <c r="G25" s="4">
        <f t="shared" si="11"/>
        <v>15905140.238411082</v>
      </c>
      <c r="H25" s="4">
        <f t="shared" si="11"/>
        <v>18678576.496330976</v>
      </c>
      <c r="I25" s="4">
        <f t="shared" si="11"/>
        <v>23642616.973129917</v>
      </c>
      <c r="J25" s="4">
        <f t="shared" si="11"/>
        <v>26636390.49210294</v>
      </c>
      <c r="K25" s="4">
        <f t="shared" si="11"/>
        <v>34641532.594739914</v>
      </c>
      <c r="L25" s="4">
        <f t="shared" si="11"/>
        <v>43598279.873826109</v>
      </c>
      <c r="M25" s="4">
        <f t="shared" si="11"/>
        <v>43598279.873826109</v>
      </c>
      <c r="N25" s="4">
        <f t="shared" si="11"/>
        <v>43598279.873826109</v>
      </c>
      <c r="O25" s="4">
        <f t="shared" si="11"/>
        <v>43598279.873826109</v>
      </c>
      <c r="P25" s="4">
        <f t="shared" si="11"/>
        <v>43598279.873826109</v>
      </c>
      <c r="Q25" s="4">
        <f t="shared" si="11"/>
        <v>43598279.873826109</v>
      </c>
      <c r="R25" s="4">
        <f t="shared" si="11"/>
        <v>43598279.873826109</v>
      </c>
    </row>
    <row r="26" spans="1:18" x14ac:dyDescent="0.3">
      <c r="A26" s="1" t="s">
        <v>10</v>
      </c>
      <c r="B26" s="1"/>
      <c r="C26" s="3">
        <f t="shared" si="10"/>
        <v>6038958.7044357089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226940193.1021013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7.6127098027829811</v>
      </c>
      <c r="E29" s="16">
        <f>'Cost-Benefit (BASE)'!E29</f>
        <v>61.221617438838294</v>
      </c>
      <c r="F29" s="16">
        <f>'Cost-Benefit (BASE)'!F29</f>
        <v>0</v>
      </c>
      <c r="G29" s="16">
        <f>'Cost-Benefit (BASE)'!G29</f>
        <v>6.8524319604007754E-3</v>
      </c>
      <c r="H29" s="16">
        <f>'Cost-Benefit (BASE)'!H29</f>
        <v>9.551225714358038E-3</v>
      </c>
      <c r="I29" s="16">
        <f>'Cost-Benefit (BASE)'!I29</f>
        <v>9.1869027932518811E-3</v>
      </c>
      <c r="J29" s="16">
        <f>'Cost-Benefit (BASE)'!J29</f>
        <v>1.288216001050644E-2</v>
      </c>
      <c r="K29" s="16">
        <f>'Cost-Benefit (BASE)'!K29</f>
        <v>2.0968841252468871E-2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1937042.1403182026</v>
      </c>
      <c r="D30" s="3">
        <f>D29*$B$1</f>
        <v>240196.21969740861</v>
      </c>
      <c r="E30" s="3">
        <f t="shared" ref="E30:R30" si="12">E29*$B$1</f>
        <v>1931664.4734302259</v>
      </c>
      <c r="F30" s="3">
        <f t="shared" si="12"/>
        <v>0</v>
      </c>
      <c r="G30" s="3">
        <f t="shared" si="12"/>
        <v>216.20793321456526</v>
      </c>
      <c r="H30" s="3">
        <f t="shared" si="12"/>
        <v>301.36027373942483</v>
      </c>
      <c r="I30" s="3">
        <f t="shared" si="12"/>
        <v>289.86515693268336</v>
      </c>
      <c r="J30" s="3">
        <f t="shared" si="12"/>
        <v>406.45791265149916</v>
      </c>
      <c r="K30" s="3">
        <f t="shared" si="12"/>
        <v>661.60887919789786</v>
      </c>
      <c r="L30" s="3">
        <f t="shared" si="12"/>
        <v>814.16327572977434</v>
      </c>
      <c r="M30" s="3">
        <f t="shared" si="12"/>
        <v>814.16327572977434</v>
      </c>
      <c r="N30" s="3">
        <f t="shared" si="12"/>
        <v>814.16327572977434</v>
      </c>
      <c r="O30" s="3">
        <f t="shared" si="12"/>
        <v>814.16327572977434</v>
      </c>
      <c r="P30" s="3">
        <f t="shared" si="12"/>
        <v>814.16327572977434</v>
      </c>
      <c r="Q30" s="3">
        <f t="shared" si="12"/>
        <v>814.16327572977434</v>
      </c>
      <c r="R30" s="3">
        <f t="shared" si="12"/>
        <v>814.16327572977434</v>
      </c>
    </row>
    <row r="31" spans="1:18" x14ac:dyDescent="0.3">
      <c r="A31" s="1" t="s">
        <v>9</v>
      </c>
      <c r="B31" s="1"/>
      <c r="C31" s="3">
        <f t="shared" ref="C31:C32" si="13">NPV($B$2,D31:R31)</f>
        <v>272155816.16886801</v>
      </c>
      <c r="D31" s="4">
        <f>D$6-D30</f>
        <v>0</v>
      </c>
      <c r="E31" s="4">
        <f t="shared" ref="E31:R31" si="14">E$6-E30</f>
        <v>0</v>
      </c>
      <c r="F31" s="4">
        <f t="shared" si="14"/>
        <v>8407464.7877113428</v>
      </c>
      <c r="G31" s="4">
        <f t="shared" si="14"/>
        <v>17307846.454690609</v>
      </c>
      <c r="H31" s="4">
        <f t="shared" si="14"/>
        <v>20869011.028543174</v>
      </c>
      <c r="I31" s="4">
        <f t="shared" si="14"/>
        <v>27029134.455909982</v>
      </c>
      <c r="J31" s="4">
        <f t="shared" si="14"/>
        <v>30906772.589122269</v>
      </c>
      <c r="K31" s="4">
        <f t="shared" si="14"/>
        <v>41953711.333461814</v>
      </c>
      <c r="L31" s="4">
        <f t="shared" si="14"/>
        <v>51164727.979230605</v>
      </c>
      <c r="M31" s="4">
        <f t="shared" si="14"/>
        <v>51164727.979230605</v>
      </c>
      <c r="N31" s="4">
        <f t="shared" si="14"/>
        <v>51164727.979230605</v>
      </c>
      <c r="O31" s="4">
        <f t="shared" si="14"/>
        <v>51164727.979230605</v>
      </c>
      <c r="P31" s="4">
        <f t="shared" si="14"/>
        <v>51164727.979230605</v>
      </c>
      <c r="Q31" s="4">
        <f t="shared" si="14"/>
        <v>51164727.979230605</v>
      </c>
      <c r="R31" s="4">
        <f t="shared" si="14"/>
        <v>51164727.979230605</v>
      </c>
    </row>
    <row r="32" spans="1:18" x14ac:dyDescent="0.3">
      <c r="A32" s="1" t="s">
        <v>10</v>
      </c>
      <c r="B32" s="1"/>
      <c r="C32" s="3">
        <f t="shared" si="13"/>
        <v>11156992.250437282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260998823.91843072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E14" sqref="E14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v>8.2600000000000007E-2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39</v>
      </c>
      <c r="B3" s="15" t="s">
        <v>40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7.6127098027829811</v>
      </c>
      <c r="E5" s="16">
        <f>'Cost-Benefit (BASE)'!E5</f>
        <v>61.221617438838294</v>
      </c>
      <c r="F5" s="16">
        <f>'Cost-Benefit (BASE)'!F5</f>
        <v>266.46376735900554</v>
      </c>
      <c r="G5" s="16">
        <f>'Cost-Benefit (BASE)'!G5</f>
        <v>548.55675274543046</v>
      </c>
      <c r="H5" s="16">
        <f>'Cost-Benefit (BASE)'!H5</f>
        <v>661.42597581189511</v>
      </c>
      <c r="I5" s="16">
        <f>'Cost-Benefit (BASE)'!I5</f>
        <v>856.66278908046763</v>
      </c>
      <c r="J5" s="16">
        <f>'Cost-Benefit (BASE)'!J5</f>
        <v>979.56323044608644</v>
      </c>
      <c r="K5" s="16">
        <f>'Cost-Benefit (BASE)'!K5</f>
        <v>1329.6898118135464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289773257.86000794</v>
      </c>
      <c r="D6" s="3">
        <f>D5*$B$1</f>
        <v>300245.27462176076</v>
      </c>
      <c r="E6" s="3">
        <f t="shared" ref="E6:R6" si="0">E5*$B$1</f>
        <v>2414580.5917877825</v>
      </c>
      <c r="F6" s="3">
        <f t="shared" si="0"/>
        <v>10509330.984639179</v>
      </c>
      <c r="G6" s="3">
        <f t="shared" si="0"/>
        <v>21635078.328279778</v>
      </c>
      <c r="H6" s="3">
        <f t="shared" si="0"/>
        <v>26086640.486021142</v>
      </c>
      <c r="I6" s="3">
        <f t="shared" si="0"/>
        <v>33786780.401333645</v>
      </c>
      <c r="J6" s="3">
        <f t="shared" si="0"/>
        <v>38633973.808793649</v>
      </c>
      <c r="K6" s="3">
        <f t="shared" si="0"/>
        <v>52442966.177926272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-289773257.86000794</v>
      </c>
      <c r="D7" s="4">
        <f>0-D6</f>
        <v>-300245.27462176076</v>
      </c>
      <c r="E7" s="4">
        <f t="shared" ref="E7:R7" si="2">0-E6</f>
        <v>-2414580.5917877825</v>
      </c>
      <c r="F7" s="4">
        <f t="shared" si="2"/>
        <v>-10509330.984639179</v>
      </c>
      <c r="G7" s="4">
        <f t="shared" si="2"/>
        <v>-21635078.328279778</v>
      </c>
      <c r="H7" s="4">
        <f t="shared" si="2"/>
        <v>-26086640.486021142</v>
      </c>
      <c r="I7" s="4">
        <f t="shared" si="2"/>
        <v>-33786780.401333645</v>
      </c>
      <c r="J7" s="4">
        <f t="shared" si="2"/>
        <v>-38633973.808793649</v>
      </c>
      <c r="K7" s="4">
        <f t="shared" si="2"/>
        <v>-52442966.177926272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-289773257.86000794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7.6127098027829811</v>
      </c>
      <c r="E11" s="16">
        <f>'Cost-Benefit (BASE)'!E11</f>
        <v>61.221617438838294</v>
      </c>
      <c r="F11" s="16">
        <f>'Cost-Benefit (BASE)'!F11</f>
        <v>1.0864178647283446E-2</v>
      </c>
      <c r="G11" s="16">
        <f>'Cost-Benefit (BASE)'!G11</f>
        <v>3.1785664937107994E-2</v>
      </c>
      <c r="H11" s="16">
        <f>'Cost-Benefit (BASE)'!H11</f>
        <v>4.4041428079019604E-2</v>
      </c>
      <c r="I11" s="16">
        <f>'Cost-Benefit (BASE)'!I11</f>
        <v>0.85906767601933787</v>
      </c>
      <c r="J11" s="16">
        <f>'Cost-Benefit (BASE)'!J11</f>
        <v>2.3244670348420327</v>
      </c>
      <c r="K11" s="16">
        <f>'Cost-Benefit (BASE)'!K11</f>
        <v>6.7993708357099534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3637756.0080448496</v>
      </c>
      <c r="D12" s="3">
        <f>D11*$B$1</f>
        <v>300245.27462176076</v>
      </c>
      <c r="E12" s="3">
        <f t="shared" ref="E12:R12" si="3">E11*$B$1</f>
        <v>2414580.5917877825</v>
      </c>
      <c r="F12" s="3">
        <f t="shared" si="3"/>
        <v>428.48320584885909</v>
      </c>
      <c r="G12" s="3">
        <f t="shared" si="3"/>
        <v>1253.6266251195393</v>
      </c>
      <c r="H12" s="3">
        <f t="shared" si="3"/>
        <v>1736.9939234365331</v>
      </c>
      <c r="I12" s="3">
        <f t="shared" si="3"/>
        <v>33881.629142202684</v>
      </c>
      <c r="J12" s="3">
        <f t="shared" si="3"/>
        <v>91676.979854169767</v>
      </c>
      <c r="K12" s="3">
        <f t="shared" si="3"/>
        <v>268167.18576040055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286135501.85196298</v>
      </c>
      <c r="D13" s="4">
        <f>D$6-D12</f>
        <v>0</v>
      </c>
      <c r="E13" s="4">
        <f t="shared" ref="E13:R13" si="5">E$6-E12</f>
        <v>0</v>
      </c>
      <c r="F13" s="4">
        <f t="shared" si="5"/>
        <v>10508902.50143333</v>
      </c>
      <c r="G13" s="4">
        <f t="shared" si="5"/>
        <v>21633824.701654658</v>
      </c>
      <c r="H13" s="4">
        <f t="shared" si="5"/>
        <v>26084903.492097706</v>
      </c>
      <c r="I13" s="4">
        <f t="shared" si="5"/>
        <v>33752898.772191443</v>
      </c>
      <c r="J13" s="4">
        <f t="shared" si="5"/>
        <v>38542296.828939483</v>
      </c>
      <c r="K13" s="4">
        <f t="shared" si="5"/>
        <v>52174798.992165871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13321436.559779299</v>
      </c>
      <c r="D14" s="3">
        <f>'Option Costs'!C7</f>
        <v>0</v>
      </c>
      <c r="E14" s="3">
        <f>'Option Costs'!D7</f>
        <v>13746377.499999996</v>
      </c>
      <c r="F14" s="3">
        <f>'Option Costs'!E7</f>
        <v>211350.55406249993</v>
      </c>
      <c r="G14" s="3">
        <f>'Option Costs'!F7</f>
        <v>216634.31791406241</v>
      </c>
      <c r="H14" s="3">
        <f>'Option Costs'!G7</f>
        <v>222050.17586191394</v>
      </c>
      <c r="I14" s="3">
        <f>'Option Costs'!H7</f>
        <v>227601.43025846177</v>
      </c>
      <c r="J14" s="3">
        <f>'Option Costs'!I7</f>
        <v>233291.4660149233</v>
      </c>
      <c r="K14" s="3">
        <f>'Option Costs'!J7</f>
        <v>239123.75266529634</v>
      </c>
      <c r="L14" s="3">
        <f>'Option Costs'!K7</f>
        <v>245101.84648192872</v>
      </c>
      <c r="M14" s="3">
        <f>'Option Costs'!L7</f>
        <v>251229.39264397693</v>
      </c>
      <c r="N14" s="3">
        <f>'Option Costs'!M7</f>
        <v>257510.12746007633</v>
      </c>
      <c r="O14" s="3">
        <f>'Option Costs'!N7</f>
        <v>263947.88064657821</v>
      </c>
      <c r="P14" s="3">
        <f>'Option Costs'!O7</f>
        <v>270546.57766274264</v>
      </c>
      <c r="Q14" s="3">
        <f>'Option Costs'!P7</f>
        <v>277310.24210431118</v>
      </c>
      <c r="R14" s="3">
        <f>'Option Costs'!Q7</f>
        <v>284242.99815691891</v>
      </c>
    </row>
    <row r="15" spans="1:18" x14ac:dyDescent="0.3">
      <c r="A15" s="1" t="s">
        <v>11</v>
      </c>
      <c r="C15" s="4">
        <f>C13-C14</f>
        <v>272814065.2921837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7.6127098027829811</v>
      </c>
      <c r="E17" s="16">
        <f>'Cost-Benefit (BASE)'!E17</f>
        <v>61.221617438838294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2337556.2335297423</v>
      </c>
      <c r="D18" s="3">
        <f>D17*$B$1</f>
        <v>300245.27462176076</v>
      </c>
      <c r="E18" s="3">
        <f t="shared" ref="E18:R18" si="6">E17*$B$1</f>
        <v>2414580.5917877825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287435701.62647808</v>
      </c>
      <c r="D19" s="4">
        <f>D$6-D18</f>
        <v>0</v>
      </c>
      <c r="E19" s="4">
        <f t="shared" ref="E19:R19" si="8">E$6-E18</f>
        <v>0</v>
      </c>
      <c r="F19" s="4">
        <f t="shared" si="8"/>
        <v>10509330.984639179</v>
      </c>
      <c r="G19" s="4">
        <f t="shared" si="8"/>
        <v>21635078.328279778</v>
      </c>
      <c r="H19" s="4">
        <f t="shared" si="8"/>
        <v>26086640.486021142</v>
      </c>
      <c r="I19" s="4">
        <f t="shared" si="8"/>
        <v>33786780.401333645</v>
      </c>
      <c r="J19" s="4">
        <f t="shared" si="8"/>
        <v>38633973.808793649</v>
      </c>
      <c r="K19" s="4">
        <f t="shared" si="8"/>
        <v>52442966.177926272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15655030.638068149</v>
      </c>
      <c r="D20" s="3">
        <f>'Option Costs'!C11</f>
        <v>0</v>
      </c>
      <c r="E20" s="3">
        <f>'Option Costs'!D11</f>
        <v>16154409.999999996</v>
      </c>
      <c r="F20" s="3">
        <f>'Option Costs'!E11</f>
        <v>248374.0537499999</v>
      </c>
      <c r="G20" s="3">
        <f>'Option Costs'!F11</f>
        <v>254583.40509374987</v>
      </c>
      <c r="H20" s="3">
        <f>'Option Costs'!G11</f>
        <v>260947.99022109358</v>
      </c>
      <c r="I20" s="3">
        <f>'Option Costs'!H11</f>
        <v>267471.6899766209</v>
      </c>
      <c r="J20" s="3">
        <f>'Option Costs'!I11</f>
        <v>274158.48222603637</v>
      </c>
      <c r="K20" s="3">
        <f>'Option Costs'!J11</f>
        <v>281012.44428168726</v>
      </c>
      <c r="L20" s="3">
        <f>'Option Costs'!K11</f>
        <v>288037.75538872939</v>
      </c>
      <c r="M20" s="3">
        <f>'Option Costs'!L11</f>
        <v>295238.69927344762</v>
      </c>
      <c r="N20" s="3">
        <f>'Option Costs'!M11</f>
        <v>302619.66675528378</v>
      </c>
      <c r="O20" s="3">
        <f>'Option Costs'!N11</f>
        <v>310185.15842416586</v>
      </c>
      <c r="P20" s="3">
        <f>'Option Costs'!O11</f>
        <v>317939.78738477</v>
      </c>
      <c r="Q20" s="3">
        <f>'Option Costs'!P11</f>
        <v>325889.28206938924</v>
      </c>
      <c r="R20" s="3">
        <f>'Option Costs'!Q11</f>
        <v>334037.50449612399</v>
      </c>
    </row>
    <row r="21" spans="1:18" x14ac:dyDescent="0.3">
      <c r="A21" s="1" t="s">
        <v>11</v>
      </c>
      <c r="C21" s="4">
        <f>C19-C20</f>
        <v>271780670.98840994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7.6127098027829811</v>
      </c>
      <c r="E23" s="16">
        <f>'Cost-Benefit (BASE)'!E23</f>
        <v>61.221617438838294</v>
      </c>
      <c r="F23" s="16">
        <f>'Cost-Benefit (BASE)'!F23</f>
        <v>55.84821669014277</v>
      </c>
      <c r="G23" s="16">
        <f>'Cost-Benefit (BASE)'!G23</f>
        <v>44.463819225809502</v>
      </c>
      <c r="H23" s="16">
        <f>'Cost-Benefit (BASE)'!H23</f>
        <v>69.432552373413429</v>
      </c>
      <c r="I23" s="16">
        <f>'Cost-Benefit (BASE)'!I23</f>
        <v>107.34049657508233</v>
      </c>
      <c r="J23" s="16">
        <f>'Cost-Benefit (BASE)'!J23</f>
        <v>135.35714233430463</v>
      </c>
      <c r="K23" s="16">
        <f>'Cost-Benefit (BASE)'!K23</f>
        <v>231.77105564151572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43598165.587648518</v>
      </c>
      <c r="D24" s="3">
        <f>D23*$B$1</f>
        <v>300245.27462176076</v>
      </c>
      <c r="E24" s="3">
        <f t="shared" ref="E24:R24" si="9">E23*$B$1</f>
        <v>2414580.5917877825</v>
      </c>
      <c r="F24" s="3">
        <f t="shared" si="9"/>
        <v>2202653.666259231</v>
      </c>
      <c r="G24" s="3">
        <f t="shared" si="9"/>
        <v>1753653.0302659268</v>
      </c>
      <c r="H24" s="3">
        <f t="shared" si="9"/>
        <v>2738419.8656074256</v>
      </c>
      <c r="I24" s="3">
        <f t="shared" si="9"/>
        <v>4233509.184921247</v>
      </c>
      <c r="J24" s="3">
        <f t="shared" si="9"/>
        <v>5338485.6936649745</v>
      </c>
      <c r="K24" s="3">
        <f t="shared" si="9"/>
        <v>9141050.4345013797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246175092.27235931</v>
      </c>
      <c r="D25" s="4">
        <f>D$6-D24</f>
        <v>0</v>
      </c>
      <c r="E25" s="4">
        <f t="shared" ref="E25:R25" si="11">E$6-E24</f>
        <v>0</v>
      </c>
      <c r="F25" s="4">
        <f t="shared" si="11"/>
        <v>8306677.3183799479</v>
      </c>
      <c r="G25" s="4">
        <f t="shared" si="11"/>
        <v>19881425.298013851</v>
      </c>
      <c r="H25" s="4">
        <f t="shared" si="11"/>
        <v>23348220.620413717</v>
      </c>
      <c r="I25" s="4">
        <f t="shared" si="11"/>
        <v>29553271.216412399</v>
      </c>
      <c r="J25" s="4">
        <f t="shared" si="11"/>
        <v>33295488.115128674</v>
      </c>
      <c r="K25" s="4">
        <f t="shared" si="11"/>
        <v>43301915.743424892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5748458.4849062916</v>
      </c>
      <c r="D26" s="3">
        <f>'Option Costs'!C15</f>
        <v>0</v>
      </c>
      <c r="E26" s="3">
        <f>'Option Costs'!D15</f>
        <v>5931828.7499999981</v>
      </c>
      <c r="F26" s="3">
        <f>'Option Costs'!E15</f>
        <v>91201.86703124996</v>
      </c>
      <c r="G26" s="3">
        <f>'Option Costs'!F15</f>
        <v>93481.913707031199</v>
      </c>
      <c r="H26" s="3">
        <f>'Option Costs'!G15</f>
        <v>95818.961549706975</v>
      </c>
      <c r="I26" s="3">
        <f>'Option Costs'!H15</f>
        <v>98214.435588449647</v>
      </c>
      <c r="J26" s="3">
        <f>'Option Costs'!I15</f>
        <v>100669.79647816088</v>
      </c>
      <c r="K26" s="3">
        <f>'Option Costs'!J15</f>
        <v>103186.54139011489</v>
      </c>
      <c r="L26" s="3">
        <f>'Option Costs'!K15</f>
        <v>105766.20492486775</v>
      </c>
      <c r="M26" s="3">
        <f>'Option Costs'!L15</f>
        <v>108410.36004798944</v>
      </c>
      <c r="N26" s="3">
        <f>'Option Costs'!M15</f>
        <v>111120.61904918916</v>
      </c>
      <c r="O26" s="3">
        <f>'Option Costs'!N15</f>
        <v>113898.63452541888</v>
      </c>
      <c r="P26" s="3">
        <f>'Option Costs'!O15</f>
        <v>116746.10038855435</v>
      </c>
      <c r="Q26" s="3">
        <f>'Option Costs'!P15</f>
        <v>119664.7528982682</v>
      </c>
      <c r="R26" s="3">
        <f>'Option Costs'!Q15</f>
        <v>122656.3717207249</v>
      </c>
    </row>
    <row r="27" spans="1:18" x14ac:dyDescent="0.3">
      <c r="A27" s="1" t="s">
        <v>11</v>
      </c>
      <c r="C27" s="4">
        <f>C25-C26</f>
        <v>240426633.78745303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7.6127098027829811</v>
      </c>
      <c r="E29" s="16">
        <f>'Cost-Benefit (BASE)'!E29</f>
        <v>61.221617438838294</v>
      </c>
      <c r="F29" s="16">
        <f>'Cost-Benefit (BASE)'!F29</f>
        <v>0</v>
      </c>
      <c r="G29" s="16">
        <f>'Cost-Benefit (BASE)'!G29</f>
        <v>6.8524319604007754E-3</v>
      </c>
      <c r="H29" s="16">
        <f>'Cost-Benefit (BASE)'!H29</f>
        <v>9.551225714358038E-3</v>
      </c>
      <c r="I29" s="16">
        <f>'Cost-Benefit (BASE)'!I29</f>
        <v>9.1869027932518811E-3</v>
      </c>
      <c r="J29" s="16">
        <f>'Cost-Benefit (BASE)'!J29</f>
        <v>1.288216001050644E-2</v>
      </c>
      <c r="K29" s="16">
        <f>'Cost-Benefit (BASE)'!K29</f>
        <v>2.0968841252468871E-2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2341707.7831244259</v>
      </c>
      <c r="D30" s="3">
        <f>D29*$B$1</f>
        <v>300245.27462176076</v>
      </c>
      <c r="E30" s="3">
        <f t="shared" ref="E30:R30" si="12">E29*$B$1</f>
        <v>2414580.5917877825</v>
      </c>
      <c r="F30" s="3">
        <f t="shared" si="12"/>
        <v>0</v>
      </c>
      <c r="G30" s="3">
        <f t="shared" si="12"/>
        <v>270.25991651820658</v>
      </c>
      <c r="H30" s="3">
        <f t="shared" si="12"/>
        <v>376.70034217428099</v>
      </c>
      <c r="I30" s="3">
        <f t="shared" si="12"/>
        <v>362.33144616585417</v>
      </c>
      <c r="J30" s="3">
        <f t="shared" si="12"/>
        <v>508.07239081437399</v>
      </c>
      <c r="K30" s="3">
        <f t="shared" si="12"/>
        <v>827.0110989973723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287431550.07688344</v>
      </c>
      <c r="D31" s="4">
        <f>D$6-D30</f>
        <v>0</v>
      </c>
      <c r="E31" s="4">
        <f t="shared" ref="E31:R31" si="14">E$6-E30</f>
        <v>0</v>
      </c>
      <c r="F31" s="4">
        <f t="shared" si="14"/>
        <v>10509330.984639179</v>
      </c>
      <c r="G31" s="4">
        <f t="shared" si="14"/>
        <v>21634808.06836326</v>
      </c>
      <c r="H31" s="4">
        <f t="shared" si="14"/>
        <v>26086263.785678968</v>
      </c>
      <c r="I31" s="4">
        <f t="shared" si="14"/>
        <v>33786418.069887482</v>
      </c>
      <c r="J31" s="4">
        <f t="shared" si="14"/>
        <v>38633465.736402832</v>
      </c>
      <c r="K31" s="4">
        <f t="shared" si="14"/>
        <v>52442139.166827276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10620292.323070761</v>
      </c>
      <c r="D32" s="3">
        <f>'Option Costs'!C19</f>
        <v>0</v>
      </c>
      <c r="E32" s="3">
        <f>'Option Costs'!D19</f>
        <v>10959069.374999998</v>
      </c>
      <c r="F32" s="3">
        <f>'Option Costs'!E19</f>
        <v>168495.69164062495</v>
      </c>
      <c r="G32" s="3">
        <f>'Option Costs'!F19</f>
        <v>172708.08393164055</v>
      </c>
      <c r="H32" s="3">
        <f>'Option Costs'!G19</f>
        <v>177025.78602993154</v>
      </c>
      <c r="I32" s="3">
        <f>'Option Costs'!H19</f>
        <v>181451.4306806798</v>
      </c>
      <c r="J32" s="3">
        <f>'Option Costs'!I19</f>
        <v>185987.71644769679</v>
      </c>
      <c r="K32" s="3">
        <f>'Option Costs'!J19</f>
        <v>190637.40935888918</v>
      </c>
      <c r="L32" s="3">
        <f>'Option Costs'!K19</f>
        <v>195403.34459286139</v>
      </c>
      <c r="M32" s="3">
        <f>'Option Costs'!L19</f>
        <v>200288.42820768291</v>
      </c>
      <c r="N32" s="3">
        <f>'Option Costs'!M19</f>
        <v>205295.63891287497</v>
      </c>
      <c r="O32" s="3">
        <f>'Option Costs'!N19</f>
        <v>210428.02988569683</v>
      </c>
      <c r="P32" s="3">
        <f>'Option Costs'!O19</f>
        <v>215688.73063283923</v>
      </c>
      <c r="Q32" s="3">
        <f>'Option Costs'!P19</f>
        <v>221080.94889866019</v>
      </c>
      <c r="R32" s="3">
        <f>'Option Costs'!Q19</f>
        <v>226607.97262112668</v>
      </c>
    </row>
    <row r="33" spans="1:18" x14ac:dyDescent="0.3">
      <c r="A33" s="1" t="s">
        <v>11</v>
      </c>
      <c r="C33" s="4">
        <f>C31-C32</f>
        <v>276811257.75381267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M11" sqref="M11"/>
    </sheetView>
  </sheetViews>
  <sheetFormatPr defaultRowHeight="14.4" x14ac:dyDescent="0.3"/>
  <cols>
    <col min="1" max="1" width="23.88671875" bestFit="1" customWidth="1"/>
    <col min="2" max="2" width="11.44140625" bestFit="1" customWidth="1"/>
    <col min="3" max="3" width="25.6640625" bestFit="1" customWidth="1"/>
    <col min="4" max="4" width="12" bestFit="1" customWidth="1"/>
    <col min="5" max="5" width="12.44140625" bestFit="1" customWidth="1"/>
    <col min="6" max="6" width="13.109375" bestFit="1" customWidth="1"/>
    <col min="7" max="7" width="12.88671875" bestFit="1" customWidth="1"/>
    <col min="8" max="9" width="13.109375" bestFit="1" customWidth="1"/>
    <col min="10" max="11" width="13.5546875" bestFit="1" customWidth="1"/>
    <col min="12" max="12" width="13.109375" bestFit="1" customWidth="1"/>
    <col min="13" max="18" width="13.5546875" bestFit="1" customWidth="1"/>
  </cols>
  <sheetData>
    <row r="1" spans="1:18" s="10" customFormat="1" x14ac:dyDescent="0.3">
      <c r="A1" s="19" t="s">
        <v>12</v>
      </c>
      <c r="B1" s="20">
        <f>'Cost-Benefit (BASE)'!B1</f>
        <v>39440</v>
      </c>
      <c r="C1" s="17"/>
      <c r="D1" s="18">
        <v>2018</v>
      </c>
      <c r="E1" s="18">
        <v>2019</v>
      </c>
      <c r="F1" s="18">
        <v>2020</v>
      </c>
      <c r="G1" s="18">
        <v>2021</v>
      </c>
      <c r="H1" s="18">
        <v>2022</v>
      </c>
      <c r="I1" s="18">
        <v>2023</v>
      </c>
      <c r="J1" s="18">
        <v>2024</v>
      </c>
      <c r="K1" s="18">
        <v>2025</v>
      </c>
      <c r="L1" s="18">
        <v>2026</v>
      </c>
      <c r="M1" s="18">
        <v>2027</v>
      </c>
      <c r="N1" s="18">
        <v>2028</v>
      </c>
      <c r="O1" s="18">
        <v>2029</v>
      </c>
      <c r="P1" s="18">
        <v>2030</v>
      </c>
      <c r="Q1" s="18">
        <v>2031</v>
      </c>
      <c r="R1" s="18">
        <v>2032</v>
      </c>
    </row>
    <row r="2" spans="1:18" x14ac:dyDescent="0.3">
      <c r="A2" s="1" t="s">
        <v>3</v>
      </c>
      <c r="B2" s="14">
        <f>'Cost-Benefit (BASE)'!B2</f>
        <v>6.3700000000000007E-2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5" t="s">
        <v>41</v>
      </c>
      <c r="B3" s="15">
        <v>1.3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0" customFormat="1" x14ac:dyDescent="0.3">
      <c r="A4" s="6" t="s">
        <v>8</v>
      </c>
      <c r="B4" s="11"/>
      <c r="C4" s="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3">
      <c r="A5" s="1" t="s">
        <v>38</v>
      </c>
      <c r="B5" s="1"/>
      <c r="C5" s="1"/>
      <c r="D5" s="16">
        <f>'Cost-Benefit (BASE)'!D5</f>
        <v>7.6127098027829811</v>
      </c>
      <c r="E5" s="16">
        <f>'Cost-Benefit (BASE)'!E5</f>
        <v>61.221617438838294</v>
      </c>
      <c r="F5" s="16">
        <f>'Cost-Benefit (BASE)'!F5</f>
        <v>266.46376735900554</v>
      </c>
      <c r="G5" s="16">
        <f>'Cost-Benefit (BASE)'!G5</f>
        <v>548.55675274543046</v>
      </c>
      <c r="H5" s="16">
        <f>'Cost-Benefit (BASE)'!H5</f>
        <v>661.42597581189511</v>
      </c>
      <c r="I5" s="16">
        <f>'Cost-Benefit (BASE)'!I5</f>
        <v>856.66278908046763</v>
      </c>
      <c r="J5" s="16">
        <f>'Cost-Benefit (BASE)'!J5</f>
        <v>979.56323044608644</v>
      </c>
      <c r="K5" s="16">
        <f>'Cost-Benefit (BASE)'!K5</f>
        <v>1329.6898118135464</v>
      </c>
      <c r="L5" s="16">
        <f>'Cost-Benefit (BASE)'!L5</f>
        <v>1621.6259553279137</v>
      </c>
      <c r="M5" s="16">
        <f>'Cost-Benefit (BASE)'!M5</f>
        <v>1621.6259553279137</v>
      </c>
      <c r="N5" s="16">
        <f>'Cost-Benefit (BASE)'!N5</f>
        <v>1621.6259553279137</v>
      </c>
      <c r="O5" s="16">
        <f>'Cost-Benefit (BASE)'!O5</f>
        <v>1621.6259553279137</v>
      </c>
      <c r="P5" s="16">
        <f>'Cost-Benefit (BASE)'!P5</f>
        <v>1621.6259553279137</v>
      </c>
      <c r="Q5" s="16">
        <f>'Cost-Benefit (BASE)'!Q5</f>
        <v>1621.6259553279137</v>
      </c>
      <c r="R5" s="16">
        <f>'Cost-Benefit (BASE)'!R5</f>
        <v>1621.6259553279137</v>
      </c>
    </row>
    <row r="6" spans="1:18" x14ac:dyDescent="0.3">
      <c r="A6" s="1" t="s">
        <v>0</v>
      </c>
      <c r="B6" s="1"/>
      <c r="C6" s="3">
        <f>NPV($B$2,D6:R6)</f>
        <v>342616072.88648283</v>
      </c>
      <c r="D6" s="3">
        <f>D5*$B$1</f>
        <v>300245.27462176076</v>
      </c>
      <c r="E6" s="3">
        <f t="shared" ref="E6:R6" si="0">E5*$B$1</f>
        <v>2414580.5917877825</v>
      </c>
      <c r="F6" s="3">
        <f t="shared" si="0"/>
        <v>10509330.984639179</v>
      </c>
      <c r="G6" s="3">
        <f t="shared" si="0"/>
        <v>21635078.328279778</v>
      </c>
      <c r="H6" s="3">
        <f t="shared" si="0"/>
        <v>26086640.486021142</v>
      </c>
      <c r="I6" s="3">
        <f t="shared" si="0"/>
        <v>33786780.401333645</v>
      </c>
      <c r="J6" s="3">
        <f t="shared" si="0"/>
        <v>38633973.808793649</v>
      </c>
      <c r="K6" s="3">
        <f t="shared" si="0"/>
        <v>52442966.177926272</v>
      </c>
      <c r="L6" s="3">
        <f t="shared" si="0"/>
        <v>63956927.678132921</v>
      </c>
      <c r="M6" s="3">
        <f t="shared" si="0"/>
        <v>63956927.678132921</v>
      </c>
      <c r="N6" s="3">
        <f t="shared" si="0"/>
        <v>63956927.678132921</v>
      </c>
      <c r="O6" s="3">
        <f t="shared" si="0"/>
        <v>63956927.678132921</v>
      </c>
      <c r="P6" s="3">
        <f t="shared" si="0"/>
        <v>63956927.678132921</v>
      </c>
      <c r="Q6" s="3">
        <f t="shared" si="0"/>
        <v>63956927.678132921</v>
      </c>
      <c r="R6" s="3">
        <f t="shared" si="0"/>
        <v>63956927.678132921</v>
      </c>
    </row>
    <row r="7" spans="1:18" x14ac:dyDescent="0.3">
      <c r="A7" s="1" t="s">
        <v>9</v>
      </c>
      <c r="B7" s="1"/>
      <c r="C7" s="3">
        <f t="shared" ref="C7:C8" si="1">NPV($B$2,D7:R7)</f>
        <v>-342616072.88648283</v>
      </c>
      <c r="D7" s="4">
        <f>0-D6</f>
        <v>-300245.27462176076</v>
      </c>
      <c r="E7" s="4">
        <f t="shared" ref="E7:R7" si="2">0-E6</f>
        <v>-2414580.5917877825</v>
      </c>
      <c r="F7" s="4">
        <f t="shared" si="2"/>
        <v>-10509330.984639179</v>
      </c>
      <c r="G7" s="4">
        <f t="shared" si="2"/>
        <v>-21635078.328279778</v>
      </c>
      <c r="H7" s="4">
        <f t="shared" si="2"/>
        <v>-26086640.486021142</v>
      </c>
      <c r="I7" s="4">
        <f t="shared" si="2"/>
        <v>-33786780.401333645</v>
      </c>
      <c r="J7" s="4">
        <f t="shared" si="2"/>
        <v>-38633973.808793649</v>
      </c>
      <c r="K7" s="4">
        <f t="shared" si="2"/>
        <v>-52442966.177926272</v>
      </c>
      <c r="L7" s="4">
        <f t="shared" si="2"/>
        <v>-63956927.678132921</v>
      </c>
      <c r="M7" s="4">
        <f t="shared" si="2"/>
        <v>-63956927.678132921</v>
      </c>
      <c r="N7" s="4">
        <f t="shared" si="2"/>
        <v>-63956927.678132921</v>
      </c>
      <c r="O7" s="4">
        <f t="shared" si="2"/>
        <v>-63956927.678132921</v>
      </c>
      <c r="P7" s="4">
        <f t="shared" si="2"/>
        <v>-63956927.678132921</v>
      </c>
      <c r="Q7" s="4">
        <f t="shared" si="2"/>
        <v>-63956927.678132921</v>
      </c>
      <c r="R7" s="4">
        <f t="shared" si="2"/>
        <v>-63956927.678132921</v>
      </c>
    </row>
    <row r="8" spans="1:18" x14ac:dyDescent="0.3">
      <c r="A8" s="1" t="s">
        <v>10</v>
      </c>
      <c r="B8" s="1"/>
      <c r="C8" s="3">
        <f t="shared" si="1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</row>
    <row r="9" spans="1:18" x14ac:dyDescent="0.3">
      <c r="A9" s="1" t="s">
        <v>11</v>
      </c>
      <c r="C9" s="4">
        <f>C7-C8</f>
        <v>-342616072.88648283</v>
      </c>
    </row>
    <row r="10" spans="1:18" s="10" customFormat="1" x14ac:dyDescent="0.3">
      <c r="A10" s="6" t="s">
        <v>34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3">
      <c r="A11" s="1" t="s">
        <v>38</v>
      </c>
      <c r="B11" s="1"/>
      <c r="C11" s="1"/>
      <c r="D11" s="16">
        <f>'Cost-Benefit (BASE)'!D11</f>
        <v>7.6127098027829811</v>
      </c>
      <c r="E11" s="16">
        <f>'Cost-Benefit (BASE)'!E11</f>
        <v>61.221617438838294</v>
      </c>
      <c r="F11" s="16">
        <f>'Cost-Benefit (BASE)'!F11</f>
        <v>1.0864178647283446E-2</v>
      </c>
      <c r="G11" s="16">
        <f>'Cost-Benefit (BASE)'!G11</f>
        <v>3.1785664937107994E-2</v>
      </c>
      <c r="H11" s="16">
        <f>'Cost-Benefit (BASE)'!H11</f>
        <v>4.4041428079019604E-2</v>
      </c>
      <c r="I11" s="16">
        <f>'Cost-Benefit (BASE)'!I11</f>
        <v>0.85906767601933787</v>
      </c>
      <c r="J11" s="16">
        <f>'Cost-Benefit (BASE)'!J11</f>
        <v>2.3244670348420327</v>
      </c>
      <c r="K11" s="16">
        <f>'Cost-Benefit (BASE)'!K11</f>
        <v>6.7993708357099534</v>
      </c>
      <c r="L11" s="16">
        <f>'Cost-Benefit (BASE)'!L11</f>
        <v>10.031644848833674</v>
      </c>
      <c r="M11" s="16">
        <f>'Cost-Benefit (BASE)'!M11</f>
        <v>10.031644848833674</v>
      </c>
      <c r="N11" s="16">
        <f>'Cost-Benefit (BASE)'!N11</f>
        <v>10.031644848833674</v>
      </c>
      <c r="O11" s="16">
        <f>'Cost-Benefit (BASE)'!O11</f>
        <v>10.031644848833674</v>
      </c>
      <c r="P11" s="16">
        <f>'Cost-Benefit (BASE)'!P11</f>
        <v>10.031644848833674</v>
      </c>
      <c r="Q11" s="16">
        <f>'Cost-Benefit (BASE)'!Q11</f>
        <v>10.031644848833674</v>
      </c>
      <c r="R11" s="16">
        <f>'Cost-Benefit (BASE)'!R11</f>
        <v>10.031644848833674</v>
      </c>
    </row>
    <row r="12" spans="1:18" x14ac:dyDescent="0.3">
      <c r="A12" s="1" t="s">
        <v>0</v>
      </c>
      <c r="B12" s="1"/>
      <c r="C12" s="3">
        <f>NPV($B$2,D12:R12)</f>
        <v>3995538.1942940494</v>
      </c>
      <c r="D12" s="3">
        <f>D11*$B$1</f>
        <v>300245.27462176076</v>
      </c>
      <c r="E12" s="3">
        <f t="shared" ref="E12:R12" si="3">E11*$B$1</f>
        <v>2414580.5917877825</v>
      </c>
      <c r="F12" s="3">
        <f t="shared" si="3"/>
        <v>428.48320584885909</v>
      </c>
      <c r="G12" s="3">
        <f t="shared" si="3"/>
        <v>1253.6266251195393</v>
      </c>
      <c r="H12" s="3">
        <f t="shared" si="3"/>
        <v>1736.9939234365331</v>
      </c>
      <c r="I12" s="3">
        <f t="shared" si="3"/>
        <v>33881.629142202684</v>
      </c>
      <c r="J12" s="3">
        <f t="shared" si="3"/>
        <v>91676.979854169767</v>
      </c>
      <c r="K12" s="3">
        <f t="shared" si="3"/>
        <v>268167.18576040055</v>
      </c>
      <c r="L12" s="3">
        <f t="shared" si="3"/>
        <v>395648.07283800008</v>
      </c>
      <c r="M12" s="3">
        <f t="shared" si="3"/>
        <v>395648.07283800008</v>
      </c>
      <c r="N12" s="3">
        <f t="shared" si="3"/>
        <v>395648.07283800008</v>
      </c>
      <c r="O12" s="3">
        <f t="shared" si="3"/>
        <v>395648.07283800008</v>
      </c>
      <c r="P12" s="3">
        <f t="shared" si="3"/>
        <v>395648.07283800008</v>
      </c>
      <c r="Q12" s="3">
        <f t="shared" si="3"/>
        <v>395648.07283800008</v>
      </c>
      <c r="R12" s="3">
        <f t="shared" si="3"/>
        <v>395648.07283800008</v>
      </c>
    </row>
    <row r="13" spans="1:18" x14ac:dyDescent="0.3">
      <c r="A13" s="1" t="s">
        <v>9</v>
      </c>
      <c r="B13" s="1"/>
      <c r="C13" s="3">
        <f t="shared" ref="C13:C14" si="4">NPV($B$2,D13:R13)</f>
        <v>338620534.69218868</v>
      </c>
      <c r="D13" s="4">
        <f>D$6-D12</f>
        <v>0</v>
      </c>
      <c r="E13" s="4">
        <f t="shared" ref="E13:R13" si="5">E$6-E12</f>
        <v>0</v>
      </c>
      <c r="F13" s="4">
        <f t="shared" si="5"/>
        <v>10508902.50143333</v>
      </c>
      <c r="G13" s="4">
        <f t="shared" si="5"/>
        <v>21633824.701654658</v>
      </c>
      <c r="H13" s="4">
        <f t="shared" si="5"/>
        <v>26084903.492097706</v>
      </c>
      <c r="I13" s="4">
        <f t="shared" si="5"/>
        <v>33752898.772191443</v>
      </c>
      <c r="J13" s="4">
        <f t="shared" si="5"/>
        <v>38542296.828939483</v>
      </c>
      <c r="K13" s="4">
        <f t="shared" si="5"/>
        <v>52174798.992165871</v>
      </c>
      <c r="L13" s="4">
        <f t="shared" si="5"/>
        <v>63561279.605294921</v>
      </c>
      <c r="M13" s="4">
        <f t="shared" si="5"/>
        <v>63561279.605294921</v>
      </c>
      <c r="N13" s="4">
        <f t="shared" si="5"/>
        <v>63561279.605294921</v>
      </c>
      <c r="O13" s="4">
        <f t="shared" si="5"/>
        <v>63561279.605294921</v>
      </c>
      <c r="P13" s="4">
        <f t="shared" si="5"/>
        <v>63561279.605294921</v>
      </c>
      <c r="Q13" s="4">
        <f t="shared" si="5"/>
        <v>63561279.605294921</v>
      </c>
      <c r="R13" s="4">
        <f t="shared" si="5"/>
        <v>63561279.605294921</v>
      </c>
    </row>
    <row r="14" spans="1:18" x14ac:dyDescent="0.3">
      <c r="A14" s="1" t="s">
        <v>10</v>
      </c>
      <c r="B14" s="1"/>
      <c r="C14" s="3">
        <f t="shared" si="4"/>
        <v>18193031.596792046</v>
      </c>
      <c r="D14" s="3">
        <f>'Option Costs'!C7*$B$3</f>
        <v>0</v>
      </c>
      <c r="E14" s="3">
        <f>'Option Costs'!D7*$B$3</f>
        <v>17870290.749999996</v>
      </c>
      <c r="F14" s="3">
        <f>'Option Costs'!E7*$B$3</f>
        <v>274755.7202812499</v>
      </c>
      <c r="G14" s="3">
        <f>'Option Costs'!F7*$B$3</f>
        <v>281624.61328828114</v>
      </c>
      <c r="H14" s="3">
        <f>'Option Costs'!G7*$B$3</f>
        <v>288665.22862048814</v>
      </c>
      <c r="I14" s="3">
        <f>'Option Costs'!H7*$B$3</f>
        <v>295881.85933600029</v>
      </c>
      <c r="J14" s="3">
        <f>'Option Costs'!I7*$B$3</f>
        <v>303278.90581940027</v>
      </c>
      <c r="K14" s="3">
        <f>'Option Costs'!J7*$B$3</f>
        <v>310860.87846488523</v>
      </c>
      <c r="L14" s="3">
        <f>'Option Costs'!K7*$B$3</f>
        <v>318632.40042650735</v>
      </c>
      <c r="M14" s="3">
        <f>'Option Costs'!L7*$B$3</f>
        <v>326598.21043717</v>
      </c>
      <c r="N14" s="3">
        <f>'Option Costs'!M7*$B$3</f>
        <v>334763.16569809924</v>
      </c>
      <c r="O14" s="3">
        <f>'Option Costs'!N7*$B$3</f>
        <v>343132.24484055169</v>
      </c>
      <c r="P14" s="3">
        <f>'Option Costs'!O7*$B$3</f>
        <v>351710.55096156546</v>
      </c>
      <c r="Q14" s="3">
        <f>'Option Costs'!P7*$B$3</f>
        <v>360503.31473560457</v>
      </c>
      <c r="R14" s="3">
        <f>'Option Costs'!Q7*$B$3</f>
        <v>369515.89760399458</v>
      </c>
    </row>
    <row r="15" spans="1:18" x14ac:dyDescent="0.3">
      <c r="A15" s="1" t="s">
        <v>11</v>
      </c>
      <c r="C15" s="4">
        <f>C13-C14</f>
        <v>320427503.09539664</v>
      </c>
    </row>
    <row r="16" spans="1:18" s="10" customFormat="1" x14ac:dyDescent="0.3">
      <c r="A16" s="6" t="s">
        <v>4</v>
      </c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3">
      <c r="A17" s="1" t="s">
        <v>38</v>
      </c>
      <c r="B17" s="1"/>
      <c r="C17" s="1"/>
      <c r="D17" s="16">
        <f>'Cost-Benefit (BASE)'!D17</f>
        <v>7.6127098027829811</v>
      </c>
      <c r="E17" s="16">
        <f>'Cost-Benefit (BASE)'!E17</f>
        <v>61.221617438838294</v>
      </c>
      <c r="F17" s="16">
        <f>'Cost-Benefit (BASE)'!F17</f>
        <v>0</v>
      </c>
      <c r="G17" s="16">
        <f>'Cost-Benefit (BASE)'!G17</f>
        <v>0</v>
      </c>
      <c r="H17" s="16">
        <f>'Cost-Benefit (BASE)'!H17</f>
        <v>0</v>
      </c>
      <c r="I17" s="16">
        <f>'Cost-Benefit (BASE)'!I17</f>
        <v>0</v>
      </c>
      <c r="J17" s="16">
        <f>'Cost-Benefit (BASE)'!J17</f>
        <v>0</v>
      </c>
      <c r="K17" s="16">
        <f>'Cost-Benefit (BASE)'!K17</f>
        <v>0</v>
      </c>
      <c r="L17" s="16">
        <f>'Cost-Benefit (BASE)'!L17</f>
        <v>3.4000000000000002E-4</v>
      </c>
      <c r="M17" s="16">
        <f>'Cost-Benefit (BASE)'!M17</f>
        <v>3.4000000000000002E-4</v>
      </c>
      <c r="N17" s="16">
        <f>'Cost-Benefit (BASE)'!N17</f>
        <v>3.4000000000000002E-4</v>
      </c>
      <c r="O17" s="16">
        <f>'Cost-Benefit (BASE)'!O17</f>
        <v>3.4000000000000002E-4</v>
      </c>
      <c r="P17" s="16">
        <f>'Cost-Benefit (BASE)'!P17</f>
        <v>3.4000000000000002E-4</v>
      </c>
      <c r="Q17" s="16">
        <f>'Cost-Benefit (BASE)'!Q17</f>
        <v>3.4000000000000002E-4</v>
      </c>
      <c r="R17" s="16">
        <f>'Cost-Benefit (BASE)'!R17</f>
        <v>3.4000000000000002E-4</v>
      </c>
    </row>
    <row r="18" spans="1:18" x14ac:dyDescent="0.3">
      <c r="A18" s="1" t="s">
        <v>0</v>
      </c>
      <c r="B18" s="1"/>
      <c r="C18" s="3">
        <f>NPV($B$2,D18:R18)</f>
        <v>2416354.1611130559</v>
      </c>
      <c r="D18" s="3">
        <f>D17*$B$1</f>
        <v>300245.27462176076</v>
      </c>
      <c r="E18" s="3">
        <f t="shared" ref="E18:R18" si="6">E17*$B$1</f>
        <v>2414580.5917877825</v>
      </c>
      <c r="F18" s="3">
        <f t="shared" si="6"/>
        <v>0</v>
      </c>
      <c r="G18" s="3">
        <f t="shared" si="6"/>
        <v>0</v>
      </c>
      <c r="H18" s="3">
        <f t="shared" si="6"/>
        <v>0</v>
      </c>
      <c r="I18" s="3">
        <f t="shared" si="6"/>
        <v>0</v>
      </c>
      <c r="J18" s="3">
        <f t="shared" si="6"/>
        <v>0</v>
      </c>
      <c r="K18" s="3">
        <f t="shared" si="6"/>
        <v>0</v>
      </c>
      <c r="L18" s="3">
        <f t="shared" si="6"/>
        <v>13.409600000000001</v>
      </c>
      <c r="M18" s="3">
        <f t="shared" si="6"/>
        <v>13.409600000000001</v>
      </c>
      <c r="N18" s="3">
        <f t="shared" si="6"/>
        <v>13.409600000000001</v>
      </c>
      <c r="O18" s="3">
        <f t="shared" si="6"/>
        <v>13.409600000000001</v>
      </c>
      <c r="P18" s="3">
        <f t="shared" si="6"/>
        <v>13.409600000000001</v>
      </c>
      <c r="Q18" s="3">
        <f t="shared" si="6"/>
        <v>13.409600000000001</v>
      </c>
      <c r="R18" s="3">
        <f t="shared" si="6"/>
        <v>13.409600000000001</v>
      </c>
    </row>
    <row r="19" spans="1:18" x14ac:dyDescent="0.3">
      <c r="A19" s="1" t="s">
        <v>9</v>
      </c>
      <c r="B19" s="1"/>
      <c r="C19" s="3">
        <f t="shared" ref="C19:C20" si="7">NPV($B$2,D19:R19)</f>
        <v>340199718.72536975</v>
      </c>
      <c r="D19" s="4">
        <f>D$6-D18</f>
        <v>0</v>
      </c>
      <c r="E19" s="4">
        <f t="shared" ref="E19:R19" si="8">E$6-E18</f>
        <v>0</v>
      </c>
      <c r="F19" s="4">
        <f t="shared" si="8"/>
        <v>10509330.984639179</v>
      </c>
      <c r="G19" s="4">
        <f t="shared" si="8"/>
        <v>21635078.328279778</v>
      </c>
      <c r="H19" s="4">
        <f t="shared" si="8"/>
        <v>26086640.486021142</v>
      </c>
      <c r="I19" s="4">
        <f t="shared" si="8"/>
        <v>33786780.401333645</v>
      </c>
      <c r="J19" s="4">
        <f t="shared" si="8"/>
        <v>38633973.808793649</v>
      </c>
      <c r="K19" s="4">
        <f t="shared" si="8"/>
        <v>52442966.177926272</v>
      </c>
      <c r="L19" s="4">
        <f t="shared" si="8"/>
        <v>63956914.268532924</v>
      </c>
      <c r="M19" s="4">
        <f t="shared" si="8"/>
        <v>63956914.268532924</v>
      </c>
      <c r="N19" s="4">
        <f t="shared" si="8"/>
        <v>63956914.268532924</v>
      </c>
      <c r="O19" s="4">
        <f t="shared" si="8"/>
        <v>63956914.268532924</v>
      </c>
      <c r="P19" s="4">
        <f t="shared" si="8"/>
        <v>63956914.268532924</v>
      </c>
      <c r="Q19" s="4">
        <f t="shared" si="8"/>
        <v>63956914.268532924</v>
      </c>
      <c r="R19" s="4">
        <f t="shared" si="8"/>
        <v>63956914.268532924</v>
      </c>
    </row>
    <row r="20" spans="1:18" x14ac:dyDescent="0.3">
      <c r="A20" s="1" t="s">
        <v>10</v>
      </c>
      <c r="B20" s="1"/>
      <c r="C20" s="3">
        <f t="shared" si="7"/>
        <v>21380011.813868634</v>
      </c>
      <c r="D20" s="3">
        <f>'Option Costs'!C11*$B$3</f>
        <v>0</v>
      </c>
      <c r="E20" s="3">
        <f>'Option Costs'!D11*$B$3</f>
        <v>21000732.999999996</v>
      </c>
      <c r="F20" s="3">
        <f>'Option Costs'!E11*$B$3</f>
        <v>322886.26987499988</v>
      </c>
      <c r="G20" s="3">
        <f>'Option Costs'!F11*$B$3</f>
        <v>330958.42662187485</v>
      </c>
      <c r="H20" s="3">
        <f>'Option Costs'!G11*$B$3</f>
        <v>339232.38728742168</v>
      </c>
      <c r="I20" s="3">
        <f>'Option Costs'!H11*$B$3</f>
        <v>347713.1969696072</v>
      </c>
      <c r="J20" s="3">
        <f>'Option Costs'!I11*$B$3</f>
        <v>356406.02689384727</v>
      </c>
      <c r="K20" s="3">
        <f>'Option Costs'!J11*$B$3</f>
        <v>365316.17756619345</v>
      </c>
      <c r="L20" s="3">
        <f>'Option Costs'!K11*$B$3</f>
        <v>374449.08200534823</v>
      </c>
      <c r="M20" s="3">
        <f>'Option Costs'!L11*$B$3</f>
        <v>383810.30905548192</v>
      </c>
      <c r="N20" s="3">
        <f>'Option Costs'!M11*$B$3</f>
        <v>393405.56678186893</v>
      </c>
      <c r="O20" s="3">
        <f>'Option Costs'!N11*$B$3</f>
        <v>403240.70595141564</v>
      </c>
      <c r="P20" s="3">
        <f>'Option Costs'!O11*$B$3</f>
        <v>413321.72360020102</v>
      </c>
      <c r="Q20" s="3">
        <f>'Option Costs'!P11*$B$3</f>
        <v>423656.066690206</v>
      </c>
      <c r="R20" s="3">
        <f>'Option Costs'!Q11*$B$3</f>
        <v>434248.75584496121</v>
      </c>
    </row>
    <row r="21" spans="1:18" x14ac:dyDescent="0.3">
      <c r="A21" s="1" t="s">
        <v>11</v>
      </c>
      <c r="C21" s="4">
        <f>C19-C20</f>
        <v>318819706.91150111</v>
      </c>
    </row>
    <row r="22" spans="1:18" s="10" customFormat="1" x14ac:dyDescent="0.3">
      <c r="A22" s="6" t="s">
        <v>5</v>
      </c>
      <c r="B22" s="1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3">
      <c r="A23" s="1" t="s">
        <v>38</v>
      </c>
      <c r="B23" s="1"/>
      <c r="C23" s="1"/>
      <c r="D23" s="16">
        <f>'Cost-Benefit (BASE)'!D23</f>
        <v>7.6127098027829811</v>
      </c>
      <c r="E23" s="16">
        <f>'Cost-Benefit (BASE)'!E23</f>
        <v>61.221617438838294</v>
      </c>
      <c r="F23" s="16">
        <f>'Cost-Benefit (BASE)'!F23</f>
        <v>55.84821669014277</v>
      </c>
      <c r="G23" s="16">
        <f>'Cost-Benefit (BASE)'!G23</f>
        <v>44.463819225809502</v>
      </c>
      <c r="H23" s="16">
        <f>'Cost-Benefit (BASE)'!H23</f>
        <v>69.432552373413429</v>
      </c>
      <c r="I23" s="16">
        <f>'Cost-Benefit (BASE)'!I23</f>
        <v>107.34049657508233</v>
      </c>
      <c r="J23" s="16">
        <f>'Cost-Benefit (BASE)'!J23</f>
        <v>135.35714233430463</v>
      </c>
      <c r="K23" s="16">
        <f>'Cost-Benefit (BASE)'!K23</f>
        <v>231.77105564151572</v>
      </c>
      <c r="L23" s="16">
        <f>'Cost-Benefit (BASE)'!L23</f>
        <v>239.83463072642695</v>
      </c>
      <c r="M23" s="16">
        <f>'Cost-Benefit (BASE)'!M23</f>
        <v>239.83463072642695</v>
      </c>
      <c r="N23" s="16">
        <f>'Cost-Benefit (BASE)'!N23</f>
        <v>239.83463072642695</v>
      </c>
      <c r="O23" s="16">
        <f>'Cost-Benefit (BASE)'!O23</f>
        <v>239.83463072642695</v>
      </c>
      <c r="P23" s="16">
        <f>'Cost-Benefit (BASE)'!P23</f>
        <v>239.83463072642695</v>
      </c>
      <c r="Q23" s="16">
        <f>'Cost-Benefit (BASE)'!Q23</f>
        <v>239.83463072642695</v>
      </c>
      <c r="R23" s="16">
        <f>'Cost-Benefit (BASE)'!R23</f>
        <v>239.83463072642695</v>
      </c>
    </row>
    <row r="24" spans="1:18" x14ac:dyDescent="0.3">
      <c r="A24" s="1" t="s">
        <v>0</v>
      </c>
      <c r="B24" s="1"/>
      <c r="C24" s="3">
        <f>NPV($B$2,D24:R24)</f>
        <v>51392133.1283115</v>
      </c>
      <c r="D24" s="3">
        <f>D23*$B$1</f>
        <v>300245.27462176076</v>
      </c>
      <c r="E24" s="3">
        <f t="shared" ref="E24:R24" si="9">E23*$B$1</f>
        <v>2414580.5917877825</v>
      </c>
      <c r="F24" s="3">
        <f t="shared" si="9"/>
        <v>2202653.666259231</v>
      </c>
      <c r="G24" s="3">
        <f t="shared" si="9"/>
        <v>1753653.0302659268</v>
      </c>
      <c r="H24" s="3">
        <f t="shared" si="9"/>
        <v>2738419.8656074256</v>
      </c>
      <c r="I24" s="3">
        <f t="shared" si="9"/>
        <v>4233509.184921247</v>
      </c>
      <c r="J24" s="3">
        <f t="shared" si="9"/>
        <v>5338485.6936649745</v>
      </c>
      <c r="K24" s="3">
        <f t="shared" si="9"/>
        <v>9141050.4345013797</v>
      </c>
      <c r="L24" s="3">
        <f t="shared" si="9"/>
        <v>9459077.8358502798</v>
      </c>
      <c r="M24" s="3">
        <f t="shared" si="9"/>
        <v>9459077.8358502798</v>
      </c>
      <c r="N24" s="3">
        <f t="shared" si="9"/>
        <v>9459077.8358502798</v>
      </c>
      <c r="O24" s="3">
        <f t="shared" si="9"/>
        <v>9459077.8358502798</v>
      </c>
      <c r="P24" s="3">
        <f t="shared" si="9"/>
        <v>9459077.8358502798</v>
      </c>
      <c r="Q24" s="3">
        <f t="shared" si="9"/>
        <v>9459077.8358502798</v>
      </c>
      <c r="R24" s="3">
        <f t="shared" si="9"/>
        <v>9459077.8358502798</v>
      </c>
    </row>
    <row r="25" spans="1:18" x14ac:dyDescent="0.3">
      <c r="A25" s="1" t="s">
        <v>9</v>
      </c>
      <c r="B25" s="1"/>
      <c r="C25" s="3">
        <f t="shared" ref="C25:C26" si="10">NPV($B$2,D25:R25)</f>
        <v>291223939.75817126</v>
      </c>
      <c r="D25" s="4">
        <f>D$6-D24</f>
        <v>0</v>
      </c>
      <c r="E25" s="4">
        <f t="shared" ref="E25:R25" si="11">E$6-E24</f>
        <v>0</v>
      </c>
      <c r="F25" s="4">
        <f t="shared" si="11"/>
        <v>8306677.3183799479</v>
      </c>
      <c r="G25" s="4">
        <f t="shared" si="11"/>
        <v>19881425.298013851</v>
      </c>
      <c r="H25" s="4">
        <f t="shared" si="11"/>
        <v>23348220.620413717</v>
      </c>
      <c r="I25" s="4">
        <f t="shared" si="11"/>
        <v>29553271.216412399</v>
      </c>
      <c r="J25" s="4">
        <f t="shared" si="11"/>
        <v>33295488.115128674</v>
      </c>
      <c r="K25" s="4">
        <f t="shared" si="11"/>
        <v>43301915.743424892</v>
      </c>
      <c r="L25" s="4">
        <f t="shared" si="11"/>
        <v>54497849.842282638</v>
      </c>
      <c r="M25" s="4">
        <f t="shared" si="11"/>
        <v>54497849.842282638</v>
      </c>
      <c r="N25" s="4">
        <f t="shared" si="11"/>
        <v>54497849.842282638</v>
      </c>
      <c r="O25" s="4">
        <f t="shared" si="11"/>
        <v>54497849.842282638</v>
      </c>
      <c r="P25" s="4">
        <f t="shared" si="11"/>
        <v>54497849.842282638</v>
      </c>
      <c r="Q25" s="4">
        <f t="shared" si="11"/>
        <v>54497849.842282638</v>
      </c>
      <c r="R25" s="4">
        <f t="shared" si="11"/>
        <v>54497849.842282638</v>
      </c>
    </row>
    <row r="26" spans="1:18" x14ac:dyDescent="0.3">
      <c r="A26" s="1" t="s">
        <v>10</v>
      </c>
      <c r="B26" s="1"/>
      <c r="C26" s="3">
        <f t="shared" si="10"/>
        <v>7850646.3157664221</v>
      </c>
      <c r="D26" s="3">
        <f>'Option Costs'!C15*$B$3</f>
        <v>0</v>
      </c>
      <c r="E26" s="3">
        <f>'Option Costs'!D15*$B$3</f>
        <v>7711377.3749999981</v>
      </c>
      <c r="F26" s="3">
        <f>'Option Costs'!E15*$B$3</f>
        <v>118562.42714062495</v>
      </c>
      <c r="G26" s="3">
        <f>'Option Costs'!F15*$B$3</f>
        <v>121526.48781914056</v>
      </c>
      <c r="H26" s="3">
        <f>'Option Costs'!G15*$B$3</f>
        <v>124564.65001461907</v>
      </c>
      <c r="I26" s="3">
        <f>'Option Costs'!H15*$B$3</f>
        <v>127678.76626498454</v>
      </c>
      <c r="J26" s="3">
        <f>'Option Costs'!I15*$B$3</f>
        <v>130870.73542160915</v>
      </c>
      <c r="K26" s="3">
        <f>'Option Costs'!J15*$B$3</f>
        <v>134142.50380714936</v>
      </c>
      <c r="L26" s="3">
        <f>'Option Costs'!K15*$B$3</f>
        <v>137496.06640232808</v>
      </c>
      <c r="M26" s="3">
        <f>'Option Costs'!L15*$B$3</f>
        <v>140933.46806238627</v>
      </c>
      <c r="N26" s="3">
        <f>'Option Costs'!M15*$B$3</f>
        <v>144456.80476394593</v>
      </c>
      <c r="O26" s="3">
        <f>'Option Costs'!N15*$B$3</f>
        <v>148068.22488304455</v>
      </c>
      <c r="P26" s="3">
        <f>'Option Costs'!O15*$B$3</f>
        <v>151769.93050512066</v>
      </c>
      <c r="Q26" s="3">
        <f>'Option Costs'!P15*$B$3</f>
        <v>155564.17876774867</v>
      </c>
      <c r="R26" s="3">
        <f>'Option Costs'!Q15*$B$3</f>
        <v>159453.28323694237</v>
      </c>
    </row>
    <row r="27" spans="1:18" x14ac:dyDescent="0.3">
      <c r="A27" s="1" t="s">
        <v>11</v>
      </c>
      <c r="C27" s="4">
        <f>C25-C26</f>
        <v>283373293.44240487</v>
      </c>
    </row>
    <row r="28" spans="1:18" s="10" customFormat="1" x14ac:dyDescent="0.3">
      <c r="A28" s="6" t="s">
        <v>6</v>
      </c>
      <c r="B28" s="11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3">
      <c r="A29" s="1" t="s">
        <v>38</v>
      </c>
      <c r="B29" s="1"/>
      <c r="C29" s="1"/>
      <c r="D29" s="16">
        <f>'Cost-Benefit (BASE)'!D29</f>
        <v>7.6127098027829811</v>
      </c>
      <c r="E29" s="16">
        <f>'Cost-Benefit (BASE)'!E29</f>
        <v>61.221617438838294</v>
      </c>
      <c r="F29" s="16">
        <f>'Cost-Benefit (BASE)'!F29</f>
        <v>0</v>
      </c>
      <c r="G29" s="16">
        <f>'Cost-Benefit (BASE)'!G29</f>
        <v>6.8524319604007754E-3</v>
      </c>
      <c r="H29" s="16">
        <f>'Cost-Benefit (BASE)'!H29</f>
        <v>9.551225714358038E-3</v>
      </c>
      <c r="I29" s="16">
        <f>'Cost-Benefit (BASE)'!I29</f>
        <v>9.1869027932518811E-3</v>
      </c>
      <c r="J29" s="16">
        <f>'Cost-Benefit (BASE)'!J29</f>
        <v>1.288216001050644E-2</v>
      </c>
      <c r="K29" s="16">
        <f>'Cost-Benefit (BASE)'!K29</f>
        <v>2.0968841252468871E-2</v>
      </c>
      <c r="L29" s="16">
        <f>'Cost-Benefit (BASE)'!L29</f>
        <v>2.5803856355532909E-2</v>
      </c>
      <c r="M29" s="16">
        <f>'Cost-Benefit (BASE)'!M29</f>
        <v>2.5803856355532909E-2</v>
      </c>
      <c r="N29" s="16">
        <f>'Cost-Benefit (BASE)'!N29</f>
        <v>2.5803856355532909E-2</v>
      </c>
      <c r="O29" s="16">
        <f>'Cost-Benefit (BASE)'!O29</f>
        <v>2.5803856355532909E-2</v>
      </c>
      <c r="P29" s="16">
        <f>'Cost-Benefit (BASE)'!P29</f>
        <v>2.5803856355532909E-2</v>
      </c>
      <c r="Q29" s="16">
        <f>'Cost-Benefit (BASE)'!Q29</f>
        <v>2.5803856355532909E-2</v>
      </c>
      <c r="R29" s="16">
        <f>'Cost-Benefit (BASE)'!R29</f>
        <v>2.5803856355532909E-2</v>
      </c>
    </row>
    <row r="30" spans="1:18" x14ac:dyDescent="0.3">
      <c r="A30" s="1" t="s">
        <v>0</v>
      </c>
      <c r="B30" s="1"/>
      <c r="C30" s="3">
        <f>NPV($B$2,D30:R30)</f>
        <v>2421302.6753977537</v>
      </c>
      <c r="D30" s="3">
        <f>D29*$B$1</f>
        <v>300245.27462176076</v>
      </c>
      <c r="E30" s="3">
        <f t="shared" ref="E30:R30" si="12">E29*$B$1</f>
        <v>2414580.5917877825</v>
      </c>
      <c r="F30" s="3">
        <f t="shared" si="12"/>
        <v>0</v>
      </c>
      <c r="G30" s="3">
        <f t="shared" si="12"/>
        <v>270.25991651820658</v>
      </c>
      <c r="H30" s="3">
        <f t="shared" si="12"/>
        <v>376.70034217428099</v>
      </c>
      <c r="I30" s="3">
        <f t="shared" si="12"/>
        <v>362.33144616585417</v>
      </c>
      <c r="J30" s="3">
        <f t="shared" si="12"/>
        <v>508.07239081437399</v>
      </c>
      <c r="K30" s="3">
        <f t="shared" si="12"/>
        <v>827.0110989973723</v>
      </c>
      <c r="L30" s="3">
        <f t="shared" si="12"/>
        <v>1017.7040946622179</v>
      </c>
      <c r="M30" s="3">
        <f t="shared" si="12"/>
        <v>1017.7040946622179</v>
      </c>
      <c r="N30" s="3">
        <f t="shared" si="12"/>
        <v>1017.7040946622179</v>
      </c>
      <c r="O30" s="3">
        <f t="shared" si="12"/>
        <v>1017.7040946622179</v>
      </c>
      <c r="P30" s="3">
        <f t="shared" si="12"/>
        <v>1017.7040946622179</v>
      </c>
      <c r="Q30" s="3">
        <f t="shared" si="12"/>
        <v>1017.7040946622179</v>
      </c>
      <c r="R30" s="3">
        <f t="shared" si="12"/>
        <v>1017.7040946622179</v>
      </c>
    </row>
    <row r="31" spans="1:18" x14ac:dyDescent="0.3">
      <c r="A31" s="1" t="s">
        <v>9</v>
      </c>
      <c r="B31" s="1"/>
      <c r="C31" s="3">
        <f t="shared" ref="C31:C32" si="13">NPV($B$2,D31:R31)</f>
        <v>340194770.21108508</v>
      </c>
      <c r="D31" s="4">
        <f>D$6-D30</f>
        <v>0</v>
      </c>
      <c r="E31" s="4">
        <f t="shared" ref="E31:R31" si="14">E$6-E30</f>
        <v>0</v>
      </c>
      <c r="F31" s="4">
        <f t="shared" si="14"/>
        <v>10509330.984639179</v>
      </c>
      <c r="G31" s="4">
        <f t="shared" si="14"/>
        <v>21634808.06836326</v>
      </c>
      <c r="H31" s="4">
        <f t="shared" si="14"/>
        <v>26086263.785678968</v>
      </c>
      <c r="I31" s="4">
        <f t="shared" si="14"/>
        <v>33786418.069887482</v>
      </c>
      <c r="J31" s="4">
        <f t="shared" si="14"/>
        <v>38633465.736402832</v>
      </c>
      <c r="K31" s="4">
        <f t="shared" si="14"/>
        <v>52442139.166827276</v>
      </c>
      <c r="L31" s="4">
        <f t="shared" si="14"/>
        <v>63955909.974038258</v>
      </c>
      <c r="M31" s="4">
        <f t="shared" si="14"/>
        <v>63955909.974038258</v>
      </c>
      <c r="N31" s="4">
        <f t="shared" si="14"/>
        <v>63955909.974038258</v>
      </c>
      <c r="O31" s="4">
        <f t="shared" si="14"/>
        <v>63955909.974038258</v>
      </c>
      <c r="P31" s="4">
        <f t="shared" si="14"/>
        <v>63955909.974038258</v>
      </c>
      <c r="Q31" s="4">
        <f t="shared" si="14"/>
        <v>63955909.974038258</v>
      </c>
      <c r="R31" s="4">
        <f t="shared" si="14"/>
        <v>63955909.974038258</v>
      </c>
    </row>
    <row r="32" spans="1:18" x14ac:dyDescent="0.3">
      <c r="A32" s="1" t="s">
        <v>10</v>
      </c>
      <c r="B32" s="1"/>
      <c r="C32" s="3">
        <f t="shared" si="13"/>
        <v>14504089.925568469</v>
      </c>
      <c r="D32" s="3">
        <f>'Option Costs'!C19*$B$3</f>
        <v>0</v>
      </c>
      <c r="E32" s="3">
        <f>'Option Costs'!D19*$B$3</f>
        <v>14246790.187499998</v>
      </c>
      <c r="F32" s="3">
        <f>'Option Costs'!E19*$B$3</f>
        <v>219044.39913281245</v>
      </c>
      <c r="G32" s="3">
        <f>'Option Costs'!F19*$B$3</f>
        <v>224520.50911113271</v>
      </c>
      <c r="H32" s="3">
        <f>'Option Costs'!G19*$B$3</f>
        <v>230133.52183891099</v>
      </c>
      <c r="I32" s="3">
        <f>'Option Costs'!H19*$B$3</f>
        <v>235886.85988488374</v>
      </c>
      <c r="J32" s="3">
        <f>'Option Costs'!I19*$B$3</f>
        <v>241784.03138200584</v>
      </c>
      <c r="K32" s="3">
        <f>'Option Costs'!J19*$B$3</f>
        <v>247828.63216655594</v>
      </c>
      <c r="L32" s="3">
        <f>'Option Costs'!K19*$B$3</f>
        <v>254024.34797071983</v>
      </c>
      <c r="M32" s="3">
        <f>'Option Costs'!L19*$B$3</f>
        <v>260374.95666998779</v>
      </c>
      <c r="N32" s="3">
        <f>'Option Costs'!M19*$B$3</f>
        <v>266884.33058673749</v>
      </c>
      <c r="O32" s="3">
        <f>'Option Costs'!N19*$B$3</f>
        <v>273556.43885140587</v>
      </c>
      <c r="P32" s="3">
        <f>'Option Costs'!O19*$B$3</f>
        <v>280395.349822691</v>
      </c>
      <c r="Q32" s="3">
        <f>'Option Costs'!P19*$B$3</f>
        <v>287405.23356825823</v>
      </c>
      <c r="R32" s="3">
        <f>'Option Costs'!Q19*$B$3</f>
        <v>294590.36440746469</v>
      </c>
    </row>
    <row r="33" spans="1:18" x14ac:dyDescent="0.3">
      <c r="A33" s="1" t="s">
        <v>11</v>
      </c>
      <c r="C33" s="4">
        <f>C31-C32</f>
        <v>325690680.28551662</v>
      </c>
    </row>
    <row r="34" spans="1:18" s="10" customFormat="1" x14ac:dyDescent="0.3">
      <c r="A34" s="6"/>
      <c r="B34" s="1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">
      <c r="A37" s="1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3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3">
      <c r="A39" s="1"/>
      <c r="C39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Report summary Table</vt:lpstr>
      <vt:lpstr>Sensitivity Analysis Summary</vt:lpstr>
      <vt:lpstr>Opt 3 - Economic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  <vt:lpstr>Fifty_POE_WEIGHTING</vt:lpstr>
      <vt:lpstr>Ten_POE_WEIGHTING</vt:lpstr>
      <vt:lpstr>VCR</vt:lpstr>
    </vt:vector>
  </TitlesOfParts>
  <Company>Jemena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Erika Twining</cp:lastModifiedBy>
  <dcterms:created xsi:type="dcterms:W3CDTF">2016-08-19T00:20:31Z</dcterms:created>
  <dcterms:modified xsi:type="dcterms:W3CDTF">2017-07-06T06:28:50Z</dcterms:modified>
</cp:coreProperties>
</file>