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network planning\KTS Split Loop project\Cost benefit assessement for options\"/>
    </mc:Choice>
  </mc:AlternateContent>
  <bookViews>
    <workbookView xWindow="0" yWindow="0" windowWidth="28800" windowHeight="12216" tabRatio="942"/>
  </bookViews>
  <sheets>
    <sheet name="Report summary Table" sheetId="14" r:id="rId1"/>
    <sheet name="Sensitivity Analysis Summary" sheetId="13" r:id="rId2"/>
    <sheet name="Chart1" sheetId="19" r:id="rId3"/>
    <sheet name="Opt 3 - Economic timing" sheetId="6" r:id="rId4"/>
    <sheet name="Option Costs" sheetId="4" r:id="rId5"/>
    <sheet name="Cost-Benefit (BASE)" sheetId="7" r:id="rId6"/>
    <sheet name="Cost-Benefit (VCR+20%)" sheetId="8" r:id="rId7"/>
    <sheet name="Cost-Benefit (VCR-20%)" sheetId="15" r:id="rId8"/>
    <sheet name="Cost-Benefit (Disc rate high)" sheetId="16" r:id="rId9"/>
    <sheet name="Cost-Benefit (cost+30%)" sheetId="17" r:id="rId10"/>
    <sheet name="Cost-Benefit (cost-30%)" sheetId="18" r:id="rId11"/>
  </sheets>
  <definedNames>
    <definedName name="_Ref415574418" localSheetId="0">'Report summary Table'!#REF!</definedName>
    <definedName name="Fifty_POE_WEIGHTING">'Cost-Benefit (BASE)'!$F$13</definedName>
    <definedName name="Ten_POE_WEIGHTING">'Cost-Benefit (BASE)'!$F$14</definedName>
    <definedName name="VCR">'Cost-Benefit (BASE)'!$H$8</definedName>
  </definedNames>
  <calcPr calcId="171027"/>
</workbook>
</file>

<file path=xl/calcChain.xml><?xml version="1.0" encoding="utf-8"?>
<calcChain xmlns="http://schemas.openxmlformats.org/spreadsheetml/2006/main">
  <c r="G30" i="4" l="1"/>
  <c r="D31" i="7" l="1"/>
  <c r="D25" i="7"/>
  <c r="D19" i="7"/>
  <c r="D13" i="7"/>
  <c r="N11" i="7" l="1"/>
  <c r="O11" i="7"/>
  <c r="P11" i="7"/>
  <c r="Q11" i="7"/>
  <c r="R11" i="7" s="1"/>
  <c r="Q30" i="4" l="1"/>
  <c r="Q31" i="4"/>
  <c r="B1" i="6" l="1"/>
  <c r="D7" i="18"/>
  <c r="D7" i="17"/>
  <c r="D7" i="16"/>
  <c r="D7" i="15"/>
  <c r="D7" i="8"/>
  <c r="D7" i="7"/>
  <c r="B5" i="14"/>
  <c r="B6" i="14"/>
  <c r="B7" i="14"/>
  <c r="B4" i="14"/>
  <c r="M11" i="7" l="1"/>
  <c r="D32" i="18" l="1"/>
  <c r="R29" i="18"/>
  <c r="R30" i="18" s="1"/>
  <c r="Q29" i="18"/>
  <c r="P29" i="18"/>
  <c r="P30" i="18" s="1"/>
  <c r="O29" i="18"/>
  <c r="N29" i="18"/>
  <c r="N30" i="18" s="1"/>
  <c r="M29" i="18"/>
  <c r="L29" i="18"/>
  <c r="L30" i="18" s="1"/>
  <c r="K29" i="18"/>
  <c r="J29" i="18"/>
  <c r="J30" i="18" s="1"/>
  <c r="I29" i="18"/>
  <c r="H29" i="18"/>
  <c r="H30" i="18" s="1"/>
  <c r="G29" i="18"/>
  <c r="F29" i="18"/>
  <c r="F30" i="18" s="1"/>
  <c r="D29" i="18"/>
  <c r="D30" i="18" s="1"/>
  <c r="D26" i="18"/>
  <c r="R23" i="18"/>
  <c r="R24" i="18" s="1"/>
  <c r="Q23" i="18"/>
  <c r="P23" i="18"/>
  <c r="P24" i="18" s="1"/>
  <c r="O23" i="18"/>
  <c r="N23" i="18"/>
  <c r="N24" i="18" s="1"/>
  <c r="M23" i="18"/>
  <c r="L23" i="18"/>
  <c r="L24" i="18" s="1"/>
  <c r="K23" i="18"/>
  <c r="J23" i="18"/>
  <c r="J24" i="18" s="1"/>
  <c r="I23" i="18"/>
  <c r="H23" i="18"/>
  <c r="H24" i="18" s="1"/>
  <c r="G23" i="18"/>
  <c r="F23" i="18"/>
  <c r="F24" i="18" s="1"/>
  <c r="D23" i="18"/>
  <c r="D24" i="18" s="1"/>
  <c r="D20" i="18"/>
  <c r="R17" i="18"/>
  <c r="R18" i="18" s="1"/>
  <c r="Q17" i="18"/>
  <c r="P17" i="18"/>
  <c r="P18" i="18" s="1"/>
  <c r="O17" i="18"/>
  <c r="N17" i="18"/>
  <c r="N18" i="18" s="1"/>
  <c r="M17" i="18"/>
  <c r="L17" i="18"/>
  <c r="L18" i="18" s="1"/>
  <c r="K17" i="18"/>
  <c r="J17" i="18"/>
  <c r="J18" i="18" s="1"/>
  <c r="I17" i="18"/>
  <c r="H17" i="18"/>
  <c r="H18" i="18" s="1"/>
  <c r="G17" i="18"/>
  <c r="F17" i="18"/>
  <c r="F18" i="18" s="1"/>
  <c r="D17" i="18"/>
  <c r="D18" i="18" s="1"/>
  <c r="D14" i="18"/>
  <c r="R11" i="18"/>
  <c r="R12" i="18" s="1"/>
  <c r="Q11" i="18"/>
  <c r="P11" i="18"/>
  <c r="P12" i="18" s="1"/>
  <c r="O11" i="18"/>
  <c r="N11" i="18"/>
  <c r="N12" i="18" s="1"/>
  <c r="M11" i="18"/>
  <c r="D11" i="18"/>
  <c r="D12" i="18" s="1"/>
  <c r="F6" i="18"/>
  <c r="F7" i="18" s="1"/>
  <c r="M5" i="18"/>
  <c r="M6" i="18" s="1"/>
  <c r="M7" i="18" s="1"/>
  <c r="L5" i="18"/>
  <c r="L6" i="18" s="1"/>
  <c r="L7" i="18" s="1"/>
  <c r="K5" i="18"/>
  <c r="K6" i="18" s="1"/>
  <c r="K7" i="18" s="1"/>
  <c r="J5" i="18"/>
  <c r="I5" i="18"/>
  <c r="I6" i="18" s="1"/>
  <c r="I7" i="18" s="1"/>
  <c r="H5" i="18"/>
  <c r="H6" i="18" s="1"/>
  <c r="H7" i="18" s="1"/>
  <c r="G5" i="18"/>
  <c r="G6" i="18" s="1"/>
  <c r="G7" i="18" s="1"/>
  <c r="F5" i="18"/>
  <c r="E5" i="18"/>
  <c r="E6" i="18" s="1"/>
  <c r="E7" i="18" s="1"/>
  <c r="D5" i="18"/>
  <c r="D6" i="18" s="1"/>
  <c r="B2" i="18"/>
  <c r="B1" i="18"/>
  <c r="J6" i="18" s="1"/>
  <c r="J7" i="18" s="1"/>
  <c r="D32" i="17"/>
  <c r="D26" i="17"/>
  <c r="D20" i="17"/>
  <c r="D14" i="17"/>
  <c r="D14" i="16"/>
  <c r="D14" i="15"/>
  <c r="D14" i="8"/>
  <c r="B2" i="17"/>
  <c r="C8" i="17" s="1"/>
  <c r="R29" i="17"/>
  <c r="Q29" i="17"/>
  <c r="Q30" i="17" s="1"/>
  <c r="P29" i="17"/>
  <c r="O29" i="17"/>
  <c r="N29" i="17"/>
  <c r="M29" i="17"/>
  <c r="M30" i="17" s="1"/>
  <c r="L29" i="17"/>
  <c r="K29" i="17"/>
  <c r="J29" i="17"/>
  <c r="I29" i="17"/>
  <c r="I30" i="17" s="1"/>
  <c r="H29" i="17"/>
  <c r="G29" i="17"/>
  <c r="F29" i="17"/>
  <c r="D29" i="17"/>
  <c r="R23" i="17"/>
  <c r="Q23" i="17"/>
  <c r="P23" i="17"/>
  <c r="O23" i="17"/>
  <c r="O24" i="17" s="1"/>
  <c r="N23" i="17"/>
  <c r="M23" i="17"/>
  <c r="L23" i="17"/>
  <c r="K23" i="17"/>
  <c r="K24" i="17" s="1"/>
  <c r="J23" i="17"/>
  <c r="I23" i="17"/>
  <c r="H23" i="17"/>
  <c r="G23" i="17"/>
  <c r="G24" i="17" s="1"/>
  <c r="F23" i="17"/>
  <c r="D23" i="17"/>
  <c r="R17" i="17"/>
  <c r="Q17" i="17"/>
  <c r="P17" i="17"/>
  <c r="O17" i="17"/>
  <c r="O18" i="17" s="1"/>
  <c r="N17" i="17"/>
  <c r="M17" i="17"/>
  <c r="L17" i="17"/>
  <c r="K17" i="17"/>
  <c r="K18" i="17" s="1"/>
  <c r="J17" i="17"/>
  <c r="I17" i="17"/>
  <c r="H17" i="17"/>
  <c r="G17" i="17"/>
  <c r="G18" i="17" s="1"/>
  <c r="F17" i="17"/>
  <c r="D17" i="17"/>
  <c r="R11" i="17"/>
  <c r="Q11" i="17"/>
  <c r="Q12" i="17" s="1"/>
  <c r="P11" i="17"/>
  <c r="O11" i="17"/>
  <c r="N11" i="17"/>
  <c r="M11" i="17"/>
  <c r="M12" i="17" s="1"/>
  <c r="D11" i="17"/>
  <c r="M5" i="17"/>
  <c r="L5" i="17"/>
  <c r="L6" i="17" s="1"/>
  <c r="L7" i="17" s="1"/>
  <c r="K5" i="17"/>
  <c r="J5" i="17"/>
  <c r="J6" i="17" s="1"/>
  <c r="J7" i="17" s="1"/>
  <c r="I5" i="17"/>
  <c r="H5" i="17"/>
  <c r="H6" i="17" s="1"/>
  <c r="H7" i="17" s="1"/>
  <c r="G5" i="17"/>
  <c r="F5" i="17"/>
  <c r="F6" i="17" s="1"/>
  <c r="F7" i="17" s="1"/>
  <c r="E5" i="17"/>
  <c r="E6" i="17" s="1"/>
  <c r="E7" i="17" s="1"/>
  <c r="D5" i="17"/>
  <c r="D6" i="17" s="1"/>
  <c r="B1" i="17"/>
  <c r="B1" i="16"/>
  <c r="D32" i="16"/>
  <c r="R29" i="16"/>
  <c r="R30" i="16" s="1"/>
  <c r="Q29" i="16"/>
  <c r="Q30" i="16" s="1"/>
  <c r="P29" i="16"/>
  <c r="P30" i="16" s="1"/>
  <c r="O29" i="16"/>
  <c r="N29" i="16"/>
  <c r="N30" i="16" s="1"/>
  <c r="M29" i="16"/>
  <c r="M30" i="16" s="1"/>
  <c r="L29" i="16"/>
  <c r="L30" i="16" s="1"/>
  <c r="K29" i="16"/>
  <c r="J29" i="16"/>
  <c r="J30" i="16" s="1"/>
  <c r="I29" i="16"/>
  <c r="I30" i="16" s="1"/>
  <c r="H29" i="16"/>
  <c r="H30" i="16" s="1"/>
  <c r="G29" i="16"/>
  <c r="F29" i="16"/>
  <c r="F30" i="16" s="1"/>
  <c r="D29" i="16"/>
  <c r="D30" i="16" s="1"/>
  <c r="D26" i="16"/>
  <c r="R23" i="16"/>
  <c r="R24" i="16" s="1"/>
  <c r="Q23" i="16"/>
  <c r="P23" i="16"/>
  <c r="P24" i="16" s="1"/>
  <c r="O23" i="16"/>
  <c r="O24" i="16" s="1"/>
  <c r="N23" i="16"/>
  <c r="N24" i="16" s="1"/>
  <c r="M23" i="16"/>
  <c r="L23" i="16"/>
  <c r="L24" i="16" s="1"/>
  <c r="K23" i="16"/>
  <c r="K24" i="16" s="1"/>
  <c r="J23" i="16"/>
  <c r="J24" i="16" s="1"/>
  <c r="I23" i="16"/>
  <c r="H23" i="16"/>
  <c r="H24" i="16" s="1"/>
  <c r="G23" i="16"/>
  <c r="G24" i="16" s="1"/>
  <c r="F23" i="16"/>
  <c r="F24" i="16" s="1"/>
  <c r="D23" i="16"/>
  <c r="D24" i="16" s="1"/>
  <c r="D20" i="16"/>
  <c r="R17" i="16"/>
  <c r="R18" i="16" s="1"/>
  <c r="Q17" i="16"/>
  <c r="Q18" i="16" s="1"/>
  <c r="P17" i="16"/>
  <c r="P18" i="16" s="1"/>
  <c r="O17" i="16"/>
  <c r="O18" i="16" s="1"/>
  <c r="N17" i="16"/>
  <c r="N18" i="16" s="1"/>
  <c r="M17" i="16"/>
  <c r="M18" i="16" s="1"/>
  <c r="L17" i="16"/>
  <c r="L18" i="16" s="1"/>
  <c r="K17" i="16"/>
  <c r="K18" i="16" s="1"/>
  <c r="J17" i="16"/>
  <c r="J18" i="16" s="1"/>
  <c r="I17" i="16"/>
  <c r="I18" i="16" s="1"/>
  <c r="H17" i="16"/>
  <c r="H18" i="16" s="1"/>
  <c r="G17" i="16"/>
  <c r="G18" i="16" s="1"/>
  <c r="F17" i="16"/>
  <c r="F18" i="16" s="1"/>
  <c r="D17" i="16"/>
  <c r="D18" i="16" s="1"/>
  <c r="R11" i="16"/>
  <c r="R12" i="16" s="1"/>
  <c r="Q11" i="16"/>
  <c r="Q12" i="16" s="1"/>
  <c r="P11" i="16"/>
  <c r="P12" i="16" s="1"/>
  <c r="O11" i="16"/>
  <c r="O12" i="16" s="1"/>
  <c r="N11" i="16"/>
  <c r="N12" i="16" s="1"/>
  <c r="M11" i="16"/>
  <c r="M12" i="16" s="1"/>
  <c r="D11" i="16"/>
  <c r="D12" i="16" s="1"/>
  <c r="C8" i="16"/>
  <c r="M5" i="16"/>
  <c r="M6" i="16" s="1"/>
  <c r="M7" i="16" s="1"/>
  <c r="L5" i="16"/>
  <c r="L6" i="16" s="1"/>
  <c r="L7" i="16" s="1"/>
  <c r="K5" i="16"/>
  <c r="K6" i="16" s="1"/>
  <c r="K7" i="16" s="1"/>
  <c r="J5" i="16"/>
  <c r="J6" i="16" s="1"/>
  <c r="J7" i="16" s="1"/>
  <c r="I5" i="16"/>
  <c r="I6" i="16" s="1"/>
  <c r="I7" i="16" s="1"/>
  <c r="H5" i="16"/>
  <c r="H6" i="16" s="1"/>
  <c r="H7" i="16" s="1"/>
  <c r="G5" i="16"/>
  <c r="G6" i="16" s="1"/>
  <c r="G7" i="16" s="1"/>
  <c r="F5" i="16"/>
  <c r="F6" i="16" s="1"/>
  <c r="F7" i="16" s="1"/>
  <c r="E5" i="16"/>
  <c r="E6" i="16" s="1"/>
  <c r="E7" i="16" s="1"/>
  <c r="D5" i="16"/>
  <c r="D6" i="16" s="1"/>
  <c r="B1" i="15"/>
  <c r="D32" i="15"/>
  <c r="R29" i="15"/>
  <c r="R30" i="15" s="1"/>
  <c r="Q29" i="15"/>
  <c r="P29" i="15"/>
  <c r="O29" i="15"/>
  <c r="O30" i="15" s="1"/>
  <c r="N29" i="15"/>
  <c r="N30" i="15" s="1"/>
  <c r="M29" i="15"/>
  <c r="M30" i="15" s="1"/>
  <c r="L29" i="15"/>
  <c r="L30" i="15" s="1"/>
  <c r="K29" i="15"/>
  <c r="K30" i="15" s="1"/>
  <c r="J29" i="15"/>
  <c r="J30" i="15" s="1"/>
  <c r="I29" i="15"/>
  <c r="I30" i="15" s="1"/>
  <c r="H29" i="15"/>
  <c r="H30" i="15" s="1"/>
  <c r="G29" i="15"/>
  <c r="G30" i="15" s="1"/>
  <c r="F29" i="15"/>
  <c r="F30" i="15" s="1"/>
  <c r="D29" i="15"/>
  <c r="D30" i="15" s="1"/>
  <c r="D26" i="15"/>
  <c r="R23" i="15"/>
  <c r="R24" i="15" s="1"/>
  <c r="Q23" i="15"/>
  <c r="Q24" i="15" s="1"/>
  <c r="P23" i="15"/>
  <c r="P24" i="15" s="1"/>
  <c r="O23" i="15"/>
  <c r="O24" i="15" s="1"/>
  <c r="N23" i="15"/>
  <c r="N24" i="15" s="1"/>
  <c r="M23" i="15"/>
  <c r="M24" i="15" s="1"/>
  <c r="L23" i="15"/>
  <c r="L24" i="15" s="1"/>
  <c r="K23" i="15"/>
  <c r="K24" i="15" s="1"/>
  <c r="J23" i="15"/>
  <c r="J24" i="15" s="1"/>
  <c r="I23" i="15"/>
  <c r="I24" i="15" s="1"/>
  <c r="H23" i="15"/>
  <c r="H24" i="15" s="1"/>
  <c r="G23" i="15"/>
  <c r="G24" i="15" s="1"/>
  <c r="F23" i="15"/>
  <c r="F24" i="15" s="1"/>
  <c r="D23" i="15"/>
  <c r="D24" i="15" s="1"/>
  <c r="D20" i="15"/>
  <c r="R17" i="15"/>
  <c r="R18" i="15" s="1"/>
  <c r="Q17" i="15"/>
  <c r="Q18" i="15" s="1"/>
  <c r="P17" i="15"/>
  <c r="P18" i="15" s="1"/>
  <c r="O17" i="15"/>
  <c r="O18" i="15" s="1"/>
  <c r="N17" i="15"/>
  <c r="N18" i="15" s="1"/>
  <c r="M17" i="15"/>
  <c r="M18" i="15" s="1"/>
  <c r="L17" i="15"/>
  <c r="L18" i="15" s="1"/>
  <c r="K17" i="15"/>
  <c r="K18" i="15" s="1"/>
  <c r="J17" i="15"/>
  <c r="J18" i="15" s="1"/>
  <c r="I17" i="15"/>
  <c r="I18" i="15" s="1"/>
  <c r="H17" i="15"/>
  <c r="H18" i="15" s="1"/>
  <c r="G17" i="15"/>
  <c r="G18" i="15" s="1"/>
  <c r="F17" i="15"/>
  <c r="F18" i="15" s="1"/>
  <c r="D17" i="15"/>
  <c r="D18" i="15" s="1"/>
  <c r="R11" i="15"/>
  <c r="R12" i="15" s="1"/>
  <c r="Q11" i="15"/>
  <c r="Q12" i="15" s="1"/>
  <c r="P11" i="15"/>
  <c r="P12" i="15" s="1"/>
  <c r="O11" i="15"/>
  <c r="O12" i="15" s="1"/>
  <c r="N11" i="15"/>
  <c r="N12" i="15" s="1"/>
  <c r="M11" i="15"/>
  <c r="M12" i="15" s="1"/>
  <c r="D11" i="15"/>
  <c r="D12" i="15" s="1"/>
  <c r="C8" i="15"/>
  <c r="M5" i="15"/>
  <c r="M6" i="15" s="1"/>
  <c r="M7" i="15" s="1"/>
  <c r="L5" i="15"/>
  <c r="L6" i="15" s="1"/>
  <c r="L7" i="15" s="1"/>
  <c r="K5" i="15"/>
  <c r="K6" i="15" s="1"/>
  <c r="K7" i="15" s="1"/>
  <c r="J5" i="15"/>
  <c r="J6" i="15" s="1"/>
  <c r="J7" i="15" s="1"/>
  <c r="I5" i="15"/>
  <c r="I6" i="15" s="1"/>
  <c r="I7" i="15" s="1"/>
  <c r="H5" i="15"/>
  <c r="H6" i="15" s="1"/>
  <c r="H7" i="15" s="1"/>
  <c r="G5" i="15"/>
  <c r="G6" i="15" s="1"/>
  <c r="G7" i="15" s="1"/>
  <c r="F5" i="15"/>
  <c r="F6" i="15" s="1"/>
  <c r="F7" i="15" s="1"/>
  <c r="E5" i="15"/>
  <c r="E6" i="15" s="1"/>
  <c r="E7" i="15" s="1"/>
  <c r="D5" i="15"/>
  <c r="D6" i="15" s="1"/>
  <c r="J31" i="18" l="1"/>
  <c r="J25" i="18"/>
  <c r="J19" i="18"/>
  <c r="K19" i="18"/>
  <c r="F25" i="18"/>
  <c r="F19" i="18"/>
  <c r="F31" i="18"/>
  <c r="D31" i="18"/>
  <c r="D25" i="18"/>
  <c r="D19" i="18"/>
  <c r="D13" i="18"/>
  <c r="H31" i="18"/>
  <c r="H25" i="18"/>
  <c r="H19" i="18"/>
  <c r="L31" i="18"/>
  <c r="L25" i="18"/>
  <c r="L19" i="18"/>
  <c r="M12" i="18"/>
  <c r="Q12" i="18"/>
  <c r="G18" i="18"/>
  <c r="G19" i="18" s="1"/>
  <c r="K18" i="18"/>
  <c r="O18" i="18"/>
  <c r="I24" i="18"/>
  <c r="I25" i="18" s="1"/>
  <c r="M24" i="18"/>
  <c r="M25" i="18" s="1"/>
  <c r="Q24" i="18"/>
  <c r="G30" i="18"/>
  <c r="K30" i="18"/>
  <c r="K31" i="18" s="1"/>
  <c r="O30" i="18"/>
  <c r="I19" i="18"/>
  <c r="M13" i="18"/>
  <c r="O12" i="18"/>
  <c r="I18" i="18"/>
  <c r="M18" i="18"/>
  <c r="M19" i="18" s="1"/>
  <c r="Q18" i="18"/>
  <c r="G24" i="18"/>
  <c r="G25" i="18" s="1"/>
  <c r="K24" i="18"/>
  <c r="K25" i="18" s="1"/>
  <c r="O24" i="18"/>
  <c r="I30" i="18"/>
  <c r="I31" i="18" s="1"/>
  <c r="M30" i="18"/>
  <c r="M31" i="18" s="1"/>
  <c r="Q30" i="18"/>
  <c r="C8" i="18"/>
  <c r="O12" i="17"/>
  <c r="I24" i="17"/>
  <c r="M24" i="17"/>
  <c r="Q24" i="17"/>
  <c r="G30" i="17"/>
  <c r="G31" i="17" s="1"/>
  <c r="K30" i="17"/>
  <c r="O30" i="17"/>
  <c r="I18" i="17"/>
  <c r="M18" i="17"/>
  <c r="Q18" i="17"/>
  <c r="G6" i="17"/>
  <c r="K6" i="17"/>
  <c r="N12" i="17"/>
  <c r="R12" i="17"/>
  <c r="D18" i="17"/>
  <c r="D19" i="17" s="1"/>
  <c r="H18" i="17"/>
  <c r="H19" i="17" s="1"/>
  <c r="L18" i="17"/>
  <c r="P18" i="17"/>
  <c r="F24" i="17"/>
  <c r="F25" i="17" s="1"/>
  <c r="J24" i="17"/>
  <c r="J25" i="17" s="1"/>
  <c r="N24" i="17"/>
  <c r="R24" i="17"/>
  <c r="D30" i="17"/>
  <c r="D31" i="17" s="1"/>
  <c r="H30" i="17"/>
  <c r="H31" i="17" s="1"/>
  <c r="L30" i="17"/>
  <c r="L31" i="17" s="1"/>
  <c r="P30" i="17"/>
  <c r="I6" i="17"/>
  <c r="M6" i="17"/>
  <c r="D12" i="17"/>
  <c r="P12" i="17"/>
  <c r="F18" i="17"/>
  <c r="F19" i="17" s="1"/>
  <c r="J18" i="17"/>
  <c r="J19" i="17" s="1"/>
  <c r="N18" i="17"/>
  <c r="R18" i="17"/>
  <c r="D24" i="17"/>
  <c r="D25" i="17" s="1"/>
  <c r="H24" i="17"/>
  <c r="H25" i="17" s="1"/>
  <c r="L24" i="17"/>
  <c r="L25" i="17" s="1"/>
  <c r="P24" i="17"/>
  <c r="F30" i="17"/>
  <c r="F31" i="17" s="1"/>
  <c r="J30" i="17"/>
  <c r="J31" i="17" s="1"/>
  <c r="N30" i="17"/>
  <c r="R30" i="17"/>
  <c r="K25" i="17"/>
  <c r="L19" i="17"/>
  <c r="M25" i="17"/>
  <c r="I24" i="16"/>
  <c r="M24" i="16"/>
  <c r="Q24" i="16"/>
  <c r="G30" i="16"/>
  <c r="G31" i="16" s="1"/>
  <c r="K30" i="16"/>
  <c r="O30" i="16"/>
  <c r="I31" i="16"/>
  <c r="I19" i="16"/>
  <c r="M25" i="16"/>
  <c r="M19" i="16"/>
  <c r="M13" i="16"/>
  <c r="M31" i="16"/>
  <c r="J31" i="16"/>
  <c r="J25" i="16"/>
  <c r="J19" i="16"/>
  <c r="G25" i="16"/>
  <c r="G19" i="16"/>
  <c r="K31" i="16"/>
  <c r="K25" i="16"/>
  <c r="K19" i="16"/>
  <c r="F19" i="16"/>
  <c r="F31" i="16"/>
  <c r="F25" i="16"/>
  <c r="D31" i="16"/>
  <c r="D25" i="16"/>
  <c r="D19" i="16"/>
  <c r="D13" i="16"/>
  <c r="H31" i="16"/>
  <c r="H25" i="16"/>
  <c r="H19" i="16"/>
  <c r="L31" i="16"/>
  <c r="L25" i="16"/>
  <c r="L19" i="16"/>
  <c r="P30" i="15"/>
  <c r="Q30" i="15"/>
  <c r="F31" i="15"/>
  <c r="F19" i="15"/>
  <c r="F25" i="15"/>
  <c r="D31" i="15"/>
  <c r="D25" i="15"/>
  <c r="D19" i="15"/>
  <c r="D13" i="15"/>
  <c r="H31" i="15"/>
  <c r="H25" i="15"/>
  <c r="H19" i="15"/>
  <c r="L31" i="15"/>
  <c r="L25" i="15"/>
  <c r="L19" i="15"/>
  <c r="I31" i="15"/>
  <c r="I25" i="15"/>
  <c r="I19" i="15"/>
  <c r="M31" i="15"/>
  <c r="M25" i="15"/>
  <c r="M19" i="15"/>
  <c r="M13" i="15"/>
  <c r="J25" i="15"/>
  <c r="J31" i="15"/>
  <c r="J19" i="15"/>
  <c r="G31" i="15"/>
  <c r="G25" i="15"/>
  <c r="G19" i="15"/>
  <c r="K31" i="15"/>
  <c r="K25" i="15"/>
  <c r="K19" i="15"/>
  <c r="I31" i="17" l="1"/>
  <c r="I7" i="17"/>
  <c r="K19" i="17"/>
  <c r="K7" i="17"/>
  <c r="M13" i="17"/>
  <c r="M7" i="17"/>
  <c r="M19" i="17"/>
  <c r="G25" i="17"/>
  <c r="G7" i="17"/>
  <c r="G31" i="18"/>
  <c r="G19" i="17"/>
  <c r="I19" i="17"/>
  <c r="I25" i="17"/>
  <c r="M31" i="17"/>
  <c r="K31" i="17"/>
  <c r="D13" i="17"/>
  <c r="I25" i="16"/>
  <c r="C7" i="4" l="1"/>
  <c r="C11" i="4"/>
  <c r="C15" i="4"/>
  <c r="C19" i="4"/>
  <c r="F29" i="8"/>
  <c r="F30" i="8" s="1"/>
  <c r="G29" i="8"/>
  <c r="G30" i="8" s="1"/>
  <c r="H29" i="8"/>
  <c r="H30" i="8" s="1"/>
  <c r="I29" i="8"/>
  <c r="I30" i="8" s="1"/>
  <c r="J29" i="8"/>
  <c r="J30" i="8" s="1"/>
  <c r="K29" i="8"/>
  <c r="K30" i="8" s="1"/>
  <c r="L29" i="8"/>
  <c r="L30" i="8" s="1"/>
  <c r="M29" i="8"/>
  <c r="M30" i="8" s="1"/>
  <c r="N29" i="8"/>
  <c r="N30" i="8" s="1"/>
  <c r="O29" i="8"/>
  <c r="O30" i="8" s="1"/>
  <c r="P29" i="8"/>
  <c r="P30" i="8" s="1"/>
  <c r="Q29" i="8"/>
  <c r="Q30" i="8" s="1"/>
  <c r="R29" i="8"/>
  <c r="R30" i="8" s="1"/>
  <c r="D29" i="8"/>
  <c r="D30" i="8" s="1"/>
  <c r="O24" i="8"/>
  <c r="P24" i="8"/>
  <c r="D24" i="8"/>
  <c r="F23" i="8"/>
  <c r="F24" i="8" s="1"/>
  <c r="G23" i="8"/>
  <c r="G24" i="8" s="1"/>
  <c r="H23" i="8"/>
  <c r="H24" i="8" s="1"/>
  <c r="I23" i="8"/>
  <c r="I24" i="8" s="1"/>
  <c r="J23" i="8"/>
  <c r="J24" i="8" s="1"/>
  <c r="K23" i="8"/>
  <c r="K24" i="8" s="1"/>
  <c r="L23" i="8"/>
  <c r="L24" i="8" s="1"/>
  <c r="M23" i="8"/>
  <c r="M24" i="8" s="1"/>
  <c r="N23" i="8"/>
  <c r="N24" i="8" s="1"/>
  <c r="O23" i="8"/>
  <c r="P23" i="8"/>
  <c r="Q23" i="8"/>
  <c r="Q24" i="8" s="1"/>
  <c r="R23" i="8"/>
  <c r="R24" i="8" s="1"/>
  <c r="D23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D18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D17" i="8"/>
  <c r="D12" i="8"/>
  <c r="M11" i="8"/>
  <c r="M12" i="8" s="1"/>
  <c r="N11" i="8"/>
  <c r="N12" i="8" s="1"/>
  <c r="O11" i="8"/>
  <c r="O12" i="8" s="1"/>
  <c r="P11" i="8"/>
  <c r="P12" i="8" s="1"/>
  <c r="Q11" i="8"/>
  <c r="Q12" i="8" s="1"/>
  <c r="R11" i="8"/>
  <c r="R12" i="8" s="1"/>
  <c r="D11" i="8"/>
  <c r="C8" i="8"/>
  <c r="F6" i="8"/>
  <c r="F7" i="8" s="1"/>
  <c r="J6" i="8"/>
  <c r="J7" i="8" s="1"/>
  <c r="E5" i="8"/>
  <c r="E6" i="8" s="1"/>
  <c r="F5" i="8"/>
  <c r="G5" i="8"/>
  <c r="G6" i="8" s="1"/>
  <c r="G7" i="8" s="1"/>
  <c r="H5" i="8"/>
  <c r="H6" i="8" s="1"/>
  <c r="H7" i="8" s="1"/>
  <c r="I5" i="8"/>
  <c r="I6" i="8" s="1"/>
  <c r="I7" i="8" s="1"/>
  <c r="J5" i="8"/>
  <c r="K5" i="8"/>
  <c r="K6" i="8" s="1"/>
  <c r="K7" i="8" s="1"/>
  <c r="L5" i="8"/>
  <c r="L6" i="8" s="1"/>
  <c r="L7" i="8" s="1"/>
  <c r="M5" i="8"/>
  <c r="M6" i="8" s="1"/>
  <c r="M7" i="8" s="1"/>
  <c r="D5" i="8"/>
  <c r="E7" i="8" l="1"/>
  <c r="F30" i="7"/>
  <c r="G30" i="7"/>
  <c r="H30" i="7"/>
  <c r="I30" i="7"/>
  <c r="J30" i="7"/>
  <c r="K30" i="7"/>
  <c r="L30" i="7"/>
  <c r="M30" i="7"/>
  <c r="N30" i="7"/>
  <c r="O30" i="7"/>
  <c r="P30" i="7"/>
  <c r="Q30" i="7"/>
  <c r="R30" i="7"/>
  <c r="D30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D24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E17" i="7"/>
  <c r="D17" i="7"/>
  <c r="D18" i="7" s="1"/>
  <c r="E18" i="7" l="1"/>
  <c r="E17" i="18"/>
  <c r="E18" i="18" s="1"/>
  <c r="E17" i="15"/>
  <c r="E18" i="15" s="1"/>
  <c r="E17" i="16"/>
  <c r="E18" i="16" s="1"/>
  <c r="E17" i="17"/>
  <c r="E18" i="17" s="1"/>
  <c r="E17" i="8"/>
  <c r="E18" i="8" s="1"/>
  <c r="C18" i="8" s="1"/>
  <c r="E24" i="7"/>
  <c r="E23" i="18"/>
  <c r="E24" i="18" s="1"/>
  <c r="E23" i="15"/>
  <c r="E24" i="15" s="1"/>
  <c r="E23" i="17"/>
  <c r="E24" i="17" s="1"/>
  <c r="E23" i="16"/>
  <c r="E24" i="16" s="1"/>
  <c r="E23" i="8"/>
  <c r="E24" i="8" s="1"/>
  <c r="C24" i="8" s="1"/>
  <c r="E30" i="7"/>
  <c r="C30" i="7" s="1"/>
  <c r="E29" i="18"/>
  <c r="E30" i="18" s="1"/>
  <c r="E29" i="15"/>
  <c r="E30" i="15" s="1"/>
  <c r="E29" i="16"/>
  <c r="E30" i="16" s="1"/>
  <c r="E29" i="17"/>
  <c r="E30" i="17" s="1"/>
  <c r="E29" i="8"/>
  <c r="E30" i="8" s="1"/>
  <c r="C30" i="8" s="1"/>
  <c r="C24" i="7"/>
  <c r="C18" i="7"/>
  <c r="M12" i="7"/>
  <c r="N12" i="7"/>
  <c r="O12" i="7"/>
  <c r="P12" i="7"/>
  <c r="Q12" i="7"/>
  <c r="R12" i="7"/>
  <c r="D12" i="7"/>
  <c r="H6" i="7"/>
  <c r="I6" i="7"/>
  <c r="J6" i="7"/>
  <c r="K6" i="7"/>
  <c r="L6" i="7"/>
  <c r="E6" i="7"/>
  <c r="E7" i="7" s="1"/>
  <c r="F6" i="7"/>
  <c r="G6" i="7"/>
  <c r="D6" i="7"/>
  <c r="E11" i="7"/>
  <c r="D11" i="7"/>
  <c r="M6" i="7"/>
  <c r="G31" i="7" l="1"/>
  <c r="G7" i="7"/>
  <c r="E31" i="16"/>
  <c r="C30" i="16"/>
  <c r="C24" i="18"/>
  <c r="E25" i="18"/>
  <c r="F31" i="7"/>
  <c r="F7" i="7"/>
  <c r="J31" i="7"/>
  <c r="J7" i="7"/>
  <c r="E25" i="16"/>
  <c r="C24" i="16"/>
  <c r="C18" i="15"/>
  <c r="E19" i="15"/>
  <c r="E12" i="7"/>
  <c r="E11" i="15"/>
  <c r="E12" i="15" s="1"/>
  <c r="E13" i="15" s="1"/>
  <c r="E11" i="18"/>
  <c r="E12" i="18" s="1"/>
  <c r="E13" i="18" s="1"/>
  <c r="E11" i="17"/>
  <c r="E12" i="17" s="1"/>
  <c r="E13" i="17" s="1"/>
  <c r="E11" i="16"/>
  <c r="E12" i="16" s="1"/>
  <c r="E13" i="16" s="1"/>
  <c r="E11" i="8"/>
  <c r="E12" i="8" s="1"/>
  <c r="I7" i="7"/>
  <c r="I31" i="7"/>
  <c r="E31" i="18"/>
  <c r="C30" i="18"/>
  <c r="E25" i="17"/>
  <c r="C24" i="17"/>
  <c r="E19" i="18"/>
  <c r="C18" i="18"/>
  <c r="M31" i="7"/>
  <c r="M7" i="7"/>
  <c r="K7" i="7"/>
  <c r="K31" i="7"/>
  <c r="C18" i="16"/>
  <c r="E19" i="16"/>
  <c r="E31" i="15"/>
  <c r="C30" i="15"/>
  <c r="E13" i="7"/>
  <c r="E25" i="7"/>
  <c r="E31" i="7"/>
  <c r="E19" i="7"/>
  <c r="L7" i="7"/>
  <c r="L31" i="7"/>
  <c r="H7" i="7"/>
  <c r="H31" i="7"/>
  <c r="E31" i="17"/>
  <c r="C30" i="17"/>
  <c r="E25" i="15"/>
  <c r="C24" i="15"/>
  <c r="E19" i="17"/>
  <c r="C18" i="17"/>
  <c r="N5" i="7"/>
  <c r="N5" i="16" l="1"/>
  <c r="N6" i="16" s="1"/>
  <c r="N5" i="18"/>
  <c r="N6" i="18" s="1"/>
  <c r="N5" i="17"/>
  <c r="N6" i="17" s="1"/>
  <c r="N5" i="15"/>
  <c r="N6" i="15" s="1"/>
  <c r="N5" i="8"/>
  <c r="N6" i="8" s="1"/>
  <c r="N6" i="7"/>
  <c r="O5" i="7"/>
  <c r="N7" i="15" l="1"/>
  <c r="N19" i="15"/>
  <c r="N25" i="15"/>
  <c r="N13" i="15"/>
  <c r="N31" i="15"/>
  <c r="N7" i="17"/>
  <c r="N19" i="17"/>
  <c r="N25" i="17"/>
  <c r="N13" i="17"/>
  <c r="N31" i="17"/>
  <c r="O5" i="18"/>
  <c r="O6" i="18" s="1"/>
  <c r="O5" i="17"/>
  <c r="O6" i="17" s="1"/>
  <c r="O5" i="15"/>
  <c r="O6" i="15" s="1"/>
  <c r="O5" i="16"/>
  <c r="O6" i="16" s="1"/>
  <c r="O5" i="8"/>
  <c r="O6" i="8" s="1"/>
  <c r="O7" i="8" s="1"/>
  <c r="N7" i="18"/>
  <c r="N13" i="18"/>
  <c r="N31" i="18"/>
  <c r="N25" i="18"/>
  <c r="N19" i="18"/>
  <c r="N31" i="7"/>
  <c r="N7" i="7"/>
  <c r="N7" i="8"/>
  <c r="N7" i="16"/>
  <c r="N31" i="16"/>
  <c r="N25" i="16"/>
  <c r="N19" i="16"/>
  <c r="N13" i="16"/>
  <c r="O6" i="7"/>
  <c r="P5" i="7"/>
  <c r="O7" i="16" l="1"/>
  <c r="O25" i="16"/>
  <c r="O19" i="16"/>
  <c r="O13" i="16"/>
  <c r="O31" i="16"/>
  <c r="O7" i="15"/>
  <c r="O13" i="15"/>
  <c r="O31" i="15"/>
  <c r="O25" i="15"/>
  <c r="O19" i="15"/>
  <c r="P5" i="16"/>
  <c r="P6" i="16" s="1"/>
  <c r="P5" i="17"/>
  <c r="P6" i="17" s="1"/>
  <c r="P5" i="15"/>
  <c r="P6" i="15" s="1"/>
  <c r="P5" i="18"/>
  <c r="P6" i="18" s="1"/>
  <c r="P5" i="8"/>
  <c r="P6" i="8" s="1"/>
  <c r="O7" i="17"/>
  <c r="O25" i="17"/>
  <c r="O19" i="17"/>
  <c r="O31" i="17"/>
  <c r="O13" i="17"/>
  <c r="O31" i="7"/>
  <c r="O7" i="7"/>
  <c r="O7" i="18"/>
  <c r="O19" i="18"/>
  <c r="O13" i="18"/>
  <c r="O31" i="18"/>
  <c r="O25" i="18"/>
  <c r="P6" i="7"/>
  <c r="Q5" i="7"/>
  <c r="P7" i="8" l="1"/>
  <c r="Q5" i="17"/>
  <c r="Q6" i="17" s="1"/>
  <c r="Q5" i="15"/>
  <c r="Q6" i="15" s="1"/>
  <c r="Q5" i="18"/>
  <c r="Q6" i="18" s="1"/>
  <c r="Q5" i="16"/>
  <c r="Q6" i="16" s="1"/>
  <c r="Q5" i="8"/>
  <c r="Q6" i="8" s="1"/>
  <c r="Q7" i="8" s="1"/>
  <c r="P7" i="18"/>
  <c r="P25" i="18"/>
  <c r="P13" i="18"/>
  <c r="P19" i="18"/>
  <c r="P31" i="18"/>
  <c r="P7" i="7"/>
  <c r="P31" i="7"/>
  <c r="P7" i="15"/>
  <c r="P13" i="15"/>
  <c r="P19" i="15"/>
  <c r="P25" i="15"/>
  <c r="P31" i="15"/>
  <c r="P7" i="16"/>
  <c r="P19" i="16"/>
  <c r="P31" i="16"/>
  <c r="P25" i="16"/>
  <c r="P13" i="16"/>
  <c r="P7" i="17"/>
  <c r="P25" i="17"/>
  <c r="P13" i="17"/>
  <c r="P31" i="17"/>
  <c r="P19" i="17"/>
  <c r="R5" i="7"/>
  <c r="Q6" i="7"/>
  <c r="Q7" i="16" l="1"/>
  <c r="Q13" i="16"/>
  <c r="Q31" i="16"/>
  <c r="Q19" i="16"/>
  <c r="Q25" i="16"/>
  <c r="C6" i="16"/>
  <c r="Q7" i="18"/>
  <c r="Q25" i="18"/>
  <c r="Q13" i="18"/>
  <c r="Q31" i="18"/>
  <c r="Q19" i="18"/>
  <c r="Q7" i="7"/>
  <c r="Q31" i="7"/>
  <c r="Q7" i="15"/>
  <c r="Q25" i="15"/>
  <c r="Q13" i="15"/>
  <c r="Q19" i="15"/>
  <c r="Q31" i="15"/>
  <c r="C6" i="15"/>
  <c r="R6" i="7"/>
  <c r="R5" i="17"/>
  <c r="R6" i="17" s="1"/>
  <c r="R5" i="15"/>
  <c r="R6" i="15" s="1"/>
  <c r="R5" i="18"/>
  <c r="R6" i="18" s="1"/>
  <c r="R5" i="16"/>
  <c r="R6" i="16" s="1"/>
  <c r="R5" i="8"/>
  <c r="Q7" i="17"/>
  <c r="Q13" i="17"/>
  <c r="Q25" i="17"/>
  <c r="Q19" i="17"/>
  <c r="Q31" i="17"/>
  <c r="D14" i="7"/>
  <c r="R7" i="17" l="1"/>
  <c r="C7" i="17" s="1"/>
  <c r="C9" i="17" s="1"/>
  <c r="R25" i="17"/>
  <c r="C25" i="17" s="1"/>
  <c r="R31" i="17"/>
  <c r="C31" i="17" s="1"/>
  <c r="R19" i="17"/>
  <c r="C19" i="17" s="1"/>
  <c r="R13" i="17"/>
  <c r="C6" i="17"/>
  <c r="R7" i="18"/>
  <c r="C7" i="18" s="1"/>
  <c r="C9" i="18" s="1"/>
  <c r="R31" i="18"/>
  <c r="C31" i="18" s="1"/>
  <c r="R19" i="18"/>
  <c r="C19" i="18" s="1"/>
  <c r="R25" i="18"/>
  <c r="C25" i="18" s="1"/>
  <c r="R13" i="18"/>
  <c r="C6" i="18"/>
  <c r="R7" i="16"/>
  <c r="C7" i="16" s="1"/>
  <c r="C9" i="16" s="1"/>
  <c r="R25" i="16"/>
  <c r="C25" i="16" s="1"/>
  <c r="R13" i="16"/>
  <c r="R31" i="16"/>
  <c r="C31" i="16" s="1"/>
  <c r="R19" i="16"/>
  <c r="C19" i="16" s="1"/>
  <c r="R31" i="7"/>
  <c r="R7" i="7"/>
  <c r="C7" i="7" s="1"/>
  <c r="R7" i="15"/>
  <c r="C7" i="15" s="1"/>
  <c r="C9" i="15" s="1"/>
  <c r="R13" i="15"/>
  <c r="R19" i="15"/>
  <c r="C19" i="15" s="1"/>
  <c r="R25" i="15"/>
  <c r="C25" i="15" s="1"/>
  <c r="R31" i="15"/>
  <c r="C31" i="15" s="1"/>
  <c r="A3" i="13"/>
  <c r="A4" i="13"/>
  <c r="A5" i="13"/>
  <c r="A6" i="13"/>
  <c r="C30" i="4" l="1"/>
  <c r="D30" i="4" s="1"/>
  <c r="C31" i="4"/>
  <c r="D31" i="4" s="1"/>
  <c r="C32" i="4"/>
  <c r="C33" i="4"/>
  <c r="D33" i="4" s="1"/>
  <c r="E33" i="4" l="1"/>
  <c r="F33" i="4" s="1"/>
  <c r="G33" i="4" s="1"/>
  <c r="H33" i="4" s="1"/>
  <c r="I33" i="4" s="1"/>
  <c r="J33" i="4" s="1"/>
  <c r="K33" i="4" s="1"/>
  <c r="L33" i="4" s="1"/>
  <c r="M33" i="4" s="1"/>
  <c r="N33" i="4" s="1"/>
  <c r="O33" i="4" s="1"/>
  <c r="P33" i="4" s="1"/>
  <c r="Q33" i="4" s="1"/>
  <c r="D20" i="4"/>
  <c r="E31" i="4"/>
  <c r="F31" i="4" s="1"/>
  <c r="G31" i="4" s="1"/>
  <c r="H31" i="4" s="1"/>
  <c r="I31" i="4" s="1"/>
  <c r="J31" i="4" s="1"/>
  <c r="K31" i="4" s="1"/>
  <c r="L31" i="4" s="1"/>
  <c r="M31" i="4" s="1"/>
  <c r="N31" i="4" s="1"/>
  <c r="O31" i="4" s="1"/>
  <c r="P31" i="4" s="1"/>
  <c r="D12" i="4"/>
  <c r="E30" i="4"/>
  <c r="F30" i="4" s="1"/>
  <c r="H30" i="4" s="1"/>
  <c r="I30" i="4" s="1"/>
  <c r="J30" i="4" s="1"/>
  <c r="K30" i="4" s="1"/>
  <c r="L30" i="4" s="1"/>
  <c r="M30" i="4" s="1"/>
  <c r="N30" i="4" s="1"/>
  <c r="O30" i="4" s="1"/>
  <c r="P30" i="4" s="1"/>
  <c r="D8" i="4"/>
  <c r="D32" i="4"/>
  <c r="E32" i="4" l="1"/>
  <c r="F32" i="4" s="1"/>
  <c r="D16" i="4"/>
  <c r="D21" i="4"/>
  <c r="E21" i="4" l="1"/>
  <c r="F21" i="4" s="1"/>
  <c r="D13" i="4"/>
  <c r="G32" i="4"/>
  <c r="H32" i="4" s="1"/>
  <c r="I32" i="4" s="1"/>
  <c r="J32" i="4" s="1"/>
  <c r="K32" i="4" s="1"/>
  <c r="L32" i="4" s="1"/>
  <c r="M32" i="4" s="1"/>
  <c r="N32" i="4" s="1"/>
  <c r="O32" i="4" s="1"/>
  <c r="P32" i="4" s="1"/>
  <c r="Q32" i="4" s="1"/>
  <c r="E13" i="4" l="1"/>
  <c r="F13" i="4" s="1"/>
  <c r="G13" i="4" s="1"/>
  <c r="H13" i="4" s="1"/>
  <c r="I13" i="4" s="1"/>
  <c r="J13" i="4" s="1"/>
  <c r="K13" i="4" s="1"/>
  <c r="L13" i="4" s="1"/>
  <c r="M13" i="4" s="1"/>
  <c r="N13" i="4" s="1"/>
  <c r="O13" i="4" s="1"/>
  <c r="P13" i="4" s="1"/>
  <c r="Q13" i="4" l="1"/>
  <c r="Q11" i="4" s="1"/>
  <c r="P11" i="4"/>
  <c r="D9" i="4"/>
  <c r="D17" i="4"/>
  <c r="G21" i="4"/>
  <c r="Q20" i="16" l="1"/>
  <c r="Q20" i="18"/>
  <c r="Q20" i="15"/>
  <c r="Q20" i="17"/>
  <c r="R20" i="17"/>
  <c r="R20" i="18"/>
  <c r="R20" i="15"/>
  <c r="R20" i="16"/>
  <c r="D7" i="4"/>
  <c r="H21" i="4"/>
  <c r="I21" i="4" s="1"/>
  <c r="J21" i="4" s="1"/>
  <c r="K21" i="4" s="1"/>
  <c r="L21" i="4" s="1"/>
  <c r="M21" i="4" s="1"/>
  <c r="N21" i="4" s="1"/>
  <c r="O21" i="4" s="1"/>
  <c r="P21" i="4" s="1"/>
  <c r="Q21" i="4" s="1"/>
  <c r="Q19" i="4" s="1"/>
  <c r="E14" i="7"/>
  <c r="Q20" i="8"/>
  <c r="Q20" i="7"/>
  <c r="R20" i="8"/>
  <c r="R20" i="7"/>
  <c r="E17" i="4"/>
  <c r="F17" i="4" s="1"/>
  <c r="G17" i="4" s="1"/>
  <c r="H17" i="4" s="1"/>
  <c r="I17" i="4" s="1"/>
  <c r="J17" i="4" s="1"/>
  <c r="K17" i="4" s="1"/>
  <c r="L17" i="4" s="1"/>
  <c r="M17" i="4" s="1"/>
  <c r="N17" i="4" s="1"/>
  <c r="O17" i="4" s="1"/>
  <c r="P17" i="4" s="1"/>
  <c r="E9" i="4"/>
  <c r="F9" i="4" s="1"/>
  <c r="G9" i="4" s="1"/>
  <c r="H9" i="4" s="1"/>
  <c r="I9" i="4" s="1"/>
  <c r="J9" i="4" s="1"/>
  <c r="K9" i="4" s="1"/>
  <c r="L9" i="4" s="1"/>
  <c r="M9" i="4" s="1"/>
  <c r="N9" i="4" s="1"/>
  <c r="O9" i="4" s="1"/>
  <c r="P9" i="4" s="1"/>
  <c r="R32" i="18" l="1"/>
  <c r="R32" i="17"/>
  <c r="R32" i="16"/>
  <c r="R32" i="15"/>
  <c r="E14" i="8"/>
  <c r="E14" i="18"/>
  <c r="E14" i="15"/>
  <c r="E14" i="17"/>
  <c r="E14" i="16"/>
  <c r="P19" i="4"/>
  <c r="Q32" i="7" s="1"/>
  <c r="P7" i="4"/>
  <c r="Q9" i="4"/>
  <c r="Q7" i="4" s="1"/>
  <c r="Q17" i="4"/>
  <c r="Q15" i="4" s="1"/>
  <c r="P15" i="4"/>
  <c r="R32" i="8"/>
  <c r="R32" i="7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B5" i="6"/>
  <c r="R14" i="18" l="1"/>
  <c r="R14" i="17"/>
  <c r="R14" i="16"/>
  <c r="R14" i="15"/>
  <c r="R26" i="17"/>
  <c r="R26" i="18"/>
  <c r="R26" i="15"/>
  <c r="R26" i="16"/>
  <c r="Q14" i="18"/>
  <c r="Q14" i="15"/>
  <c r="Q14" i="17"/>
  <c r="Q14" i="16"/>
  <c r="Q26" i="18"/>
  <c r="Q26" i="17"/>
  <c r="Q26" i="15"/>
  <c r="Q26" i="16"/>
  <c r="Q32" i="16"/>
  <c r="Q32" i="17"/>
  <c r="Q32" i="18"/>
  <c r="Q32" i="15"/>
  <c r="Q32" i="8"/>
  <c r="B6" i="6"/>
  <c r="B7" i="6" s="1"/>
  <c r="M6" i="6"/>
  <c r="M7" i="6" s="1"/>
  <c r="I6" i="6"/>
  <c r="I7" i="6" s="1"/>
  <c r="E6" i="6"/>
  <c r="E7" i="6" s="1"/>
  <c r="P6" i="6"/>
  <c r="P7" i="6" s="1"/>
  <c r="L6" i="6"/>
  <c r="L7" i="6" s="1"/>
  <c r="H6" i="6"/>
  <c r="H7" i="6" s="1"/>
  <c r="D6" i="6"/>
  <c r="D7" i="6" s="1"/>
  <c r="O6" i="6"/>
  <c r="O7" i="6" s="1"/>
  <c r="K6" i="6"/>
  <c r="K7" i="6" s="1"/>
  <c r="G6" i="6"/>
  <c r="G7" i="6" s="1"/>
  <c r="C6" i="6"/>
  <c r="C7" i="6" s="1"/>
  <c r="N6" i="6"/>
  <c r="N7" i="6" s="1"/>
  <c r="J6" i="6"/>
  <c r="J7" i="6" s="1"/>
  <c r="F6" i="6"/>
  <c r="F7" i="6" s="1"/>
  <c r="Q26" i="8"/>
  <c r="Q26" i="7"/>
  <c r="R26" i="8"/>
  <c r="R26" i="7"/>
  <c r="R14" i="7"/>
  <c r="R14" i="8"/>
  <c r="Q14" i="7"/>
  <c r="Q14" i="8"/>
  <c r="C8" i="7"/>
  <c r="B1" i="8"/>
  <c r="O19" i="4"/>
  <c r="N19" i="4"/>
  <c r="M19" i="4"/>
  <c r="L19" i="4"/>
  <c r="K19" i="4"/>
  <c r="J19" i="4"/>
  <c r="I19" i="4"/>
  <c r="H19" i="4"/>
  <c r="G19" i="4"/>
  <c r="F19" i="4"/>
  <c r="E19" i="4"/>
  <c r="D19" i="4"/>
  <c r="O15" i="4"/>
  <c r="N15" i="4"/>
  <c r="M15" i="4"/>
  <c r="L15" i="4"/>
  <c r="K15" i="4"/>
  <c r="J15" i="4"/>
  <c r="I15" i="4"/>
  <c r="H15" i="4"/>
  <c r="G15" i="4"/>
  <c r="F15" i="4"/>
  <c r="E15" i="4"/>
  <c r="D15" i="4"/>
  <c r="H11" i="4"/>
  <c r="G11" i="4"/>
  <c r="F11" i="4"/>
  <c r="E11" i="4"/>
  <c r="D11" i="4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M13" i="7"/>
  <c r="N13" i="7"/>
  <c r="O13" i="7"/>
  <c r="P13" i="7"/>
  <c r="Q13" i="7"/>
  <c r="R13" i="7"/>
  <c r="E7" i="4"/>
  <c r="F7" i="4"/>
  <c r="G7" i="4"/>
  <c r="H7" i="4"/>
  <c r="I7" i="4"/>
  <c r="J7" i="4"/>
  <c r="K7" i="4"/>
  <c r="L7" i="4"/>
  <c r="M7" i="4"/>
  <c r="N7" i="4"/>
  <c r="O7" i="4"/>
  <c r="B2" i="6" l="1"/>
  <c r="P14" i="18"/>
  <c r="P14" i="15"/>
  <c r="P14" i="17"/>
  <c r="P14" i="16"/>
  <c r="H14" i="18"/>
  <c r="H14" i="15"/>
  <c r="H14" i="16"/>
  <c r="H14" i="17"/>
  <c r="F20" i="17"/>
  <c r="F20" i="18"/>
  <c r="F20" i="16"/>
  <c r="F20" i="15"/>
  <c r="I26" i="18"/>
  <c r="I26" i="17"/>
  <c r="I26" i="15"/>
  <c r="I26" i="16"/>
  <c r="I32" i="16"/>
  <c r="I32" i="17"/>
  <c r="I32" i="18"/>
  <c r="I32" i="15"/>
  <c r="K14" i="17"/>
  <c r="K14" i="16"/>
  <c r="K14" i="18"/>
  <c r="K14" i="15"/>
  <c r="G20" i="18"/>
  <c r="G20" i="15"/>
  <c r="G20" i="16"/>
  <c r="G20" i="17"/>
  <c r="J26" i="17"/>
  <c r="J26" i="18"/>
  <c r="J26" i="16"/>
  <c r="J26" i="15"/>
  <c r="F32" i="18"/>
  <c r="F32" i="17"/>
  <c r="F32" i="15"/>
  <c r="F32" i="16"/>
  <c r="N32" i="18"/>
  <c r="N32" i="17"/>
  <c r="N32" i="15"/>
  <c r="N32" i="16"/>
  <c r="N14" i="18"/>
  <c r="N14" i="15"/>
  <c r="N14" i="17"/>
  <c r="N14" i="16"/>
  <c r="H20" i="17"/>
  <c r="H20" i="18"/>
  <c r="H20" i="16"/>
  <c r="H20" i="15"/>
  <c r="K26" i="16"/>
  <c r="K26" i="18"/>
  <c r="K26" i="17"/>
  <c r="K26" i="15"/>
  <c r="G32" i="18"/>
  <c r="G32" i="15"/>
  <c r="G32" i="16"/>
  <c r="G32" i="17"/>
  <c r="K32" i="18"/>
  <c r="K32" i="15"/>
  <c r="K32" i="16"/>
  <c r="K32" i="17"/>
  <c r="O32" i="18"/>
  <c r="O32" i="15"/>
  <c r="O32" i="16"/>
  <c r="O32" i="17"/>
  <c r="L14" i="18"/>
  <c r="L14" i="16"/>
  <c r="L14" i="15"/>
  <c r="L14" i="17"/>
  <c r="E26" i="18"/>
  <c r="E26" i="17"/>
  <c r="E26" i="15"/>
  <c r="E26" i="16"/>
  <c r="M26" i="18"/>
  <c r="M26" i="17"/>
  <c r="M26" i="15"/>
  <c r="M26" i="16"/>
  <c r="E32" i="16"/>
  <c r="E32" i="17"/>
  <c r="E32" i="18"/>
  <c r="E32" i="15"/>
  <c r="M32" i="16"/>
  <c r="M32" i="17"/>
  <c r="M32" i="18"/>
  <c r="M32" i="15"/>
  <c r="O14" i="17"/>
  <c r="O14" i="16"/>
  <c r="O14" i="18"/>
  <c r="O14" i="15"/>
  <c r="G14" i="17"/>
  <c r="G14" i="16"/>
  <c r="G14" i="18"/>
  <c r="G14" i="15"/>
  <c r="F26" i="17"/>
  <c r="F26" i="18"/>
  <c r="F26" i="15"/>
  <c r="F26" i="16"/>
  <c r="N26" i="17"/>
  <c r="N26" i="18"/>
  <c r="N26" i="16"/>
  <c r="N26" i="15"/>
  <c r="J32" i="18"/>
  <c r="J32" i="17"/>
  <c r="J32" i="16"/>
  <c r="J32" i="15"/>
  <c r="J14" i="18"/>
  <c r="J14" i="17"/>
  <c r="J14" i="15"/>
  <c r="J14" i="16"/>
  <c r="F14" i="18"/>
  <c r="F14" i="17"/>
  <c r="F14" i="16"/>
  <c r="F14" i="15"/>
  <c r="G26" i="16"/>
  <c r="G26" i="18"/>
  <c r="G26" i="17"/>
  <c r="G26" i="15"/>
  <c r="O26" i="16"/>
  <c r="O26" i="18"/>
  <c r="O26" i="17"/>
  <c r="O26" i="15"/>
  <c r="M14" i="18"/>
  <c r="M14" i="15"/>
  <c r="M14" i="17"/>
  <c r="M14" i="16"/>
  <c r="I14" i="18"/>
  <c r="I14" i="15"/>
  <c r="I14" i="17"/>
  <c r="I14" i="16"/>
  <c r="E20" i="16"/>
  <c r="E20" i="18"/>
  <c r="E20" i="15"/>
  <c r="E20" i="17"/>
  <c r="I20" i="16"/>
  <c r="I20" i="18"/>
  <c r="I20" i="15"/>
  <c r="I20" i="17"/>
  <c r="H26" i="18"/>
  <c r="H26" i="16"/>
  <c r="H26" i="15"/>
  <c r="H26" i="17"/>
  <c r="L26" i="18"/>
  <c r="L26" i="15"/>
  <c r="L26" i="16"/>
  <c r="L26" i="17"/>
  <c r="P26" i="18"/>
  <c r="P26" i="17"/>
  <c r="P26" i="16"/>
  <c r="P26" i="15"/>
  <c r="H32" i="17"/>
  <c r="H32" i="18"/>
  <c r="H32" i="15"/>
  <c r="H32" i="16"/>
  <c r="L32" i="17"/>
  <c r="L32" i="18"/>
  <c r="L32" i="16"/>
  <c r="L32" i="15"/>
  <c r="P32" i="17"/>
  <c r="P32" i="18"/>
  <c r="P32" i="16"/>
  <c r="P32" i="15"/>
  <c r="I14" i="8"/>
  <c r="I14" i="7"/>
  <c r="H20" i="8"/>
  <c r="H20" i="7"/>
  <c r="J26" i="8"/>
  <c r="J26" i="7"/>
  <c r="E32" i="8"/>
  <c r="E32" i="7"/>
  <c r="P14" i="8"/>
  <c r="P14" i="7"/>
  <c r="L14" i="8"/>
  <c r="L14" i="7"/>
  <c r="H14" i="8"/>
  <c r="H14" i="7"/>
  <c r="E20" i="8"/>
  <c r="E20" i="7"/>
  <c r="I20" i="8"/>
  <c r="I20" i="7"/>
  <c r="G26" i="8"/>
  <c r="G26" i="7"/>
  <c r="K26" i="8"/>
  <c r="K26" i="7"/>
  <c r="O26" i="8"/>
  <c r="O26" i="7"/>
  <c r="F32" i="8"/>
  <c r="F32" i="7"/>
  <c r="J32" i="8"/>
  <c r="J32" i="7"/>
  <c r="N32" i="8"/>
  <c r="N32" i="7"/>
  <c r="M14" i="8"/>
  <c r="M14" i="7"/>
  <c r="F26" i="8"/>
  <c r="F26" i="7"/>
  <c r="I32" i="8"/>
  <c r="I32" i="7"/>
  <c r="O14" i="8"/>
  <c r="O14" i="7"/>
  <c r="K14" i="8"/>
  <c r="K14" i="7"/>
  <c r="G14" i="8"/>
  <c r="G14" i="7"/>
  <c r="F20" i="8"/>
  <c r="F20" i="7"/>
  <c r="D26" i="8"/>
  <c r="D26" i="7"/>
  <c r="H26" i="8"/>
  <c r="H26" i="7"/>
  <c r="L26" i="8"/>
  <c r="L26" i="7"/>
  <c r="P26" i="8"/>
  <c r="P26" i="7"/>
  <c r="G32" i="8"/>
  <c r="G32" i="7"/>
  <c r="K32" i="8"/>
  <c r="K32" i="7"/>
  <c r="O32" i="8"/>
  <c r="O32" i="7"/>
  <c r="D20" i="8"/>
  <c r="D20" i="7"/>
  <c r="N26" i="8"/>
  <c r="N26" i="7"/>
  <c r="M32" i="8"/>
  <c r="M32" i="7"/>
  <c r="N14" i="8"/>
  <c r="N14" i="7"/>
  <c r="J14" i="8"/>
  <c r="J14" i="7"/>
  <c r="F14" i="8"/>
  <c r="F14" i="7"/>
  <c r="G20" i="8"/>
  <c r="G20" i="7"/>
  <c r="E26" i="8"/>
  <c r="E26" i="7"/>
  <c r="I26" i="8"/>
  <c r="I26" i="7"/>
  <c r="M26" i="8"/>
  <c r="M26" i="7"/>
  <c r="D32" i="8"/>
  <c r="D32" i="7"/>
  <c r="H32" i="8"/>
  <c r="H32" i="7"/>
  <c r="L32" i="8"/>
  <c r="L32" i="7"/>
  <c r="P32" i="8"/>
  <c r="P32" i="7"/>
  <c r="D6" i="8"/>
  <c r="R6" i="8"/>
  <c r="C31" i="7"/>
  <c r="C25" i="7"/>
  <c r="C19" i="7"/>
  <c r="C9" i="7"/>
  <c r="D8" i="6" l="1"/>
  <c r="C8" i="6"/>
  <c r="B8" i="6"/>
  <c r="B9" i="6" s="1"/>
  <c r="R7" i="8"/>
  <c r="C7" i="8" s="1"/>
  <c r="C6" i="8"/>
  <c r="C14" i="18"/>
  <c r="C32" i="18"/>
  <c r="C33" i="18" s="1"/>
  <c r="L6" i="13" s="1"/>
  <c r="C26" i="16"/>
  <c r="C27" i="16" s="1"/>
  <c r="H5" i="13" s="1"/>
  <c r="C26" i="15"/>
  <c r="C27" i="15" s="1"/>
  <c r="F5" i="13" s="1"/>
  <c r="C14" i="16"/>
  <c r="C32" i="16"/>
  <c r="C33" i="16" s="1"/>
  <c r="H6" i="13" s="1"/>
  <c r="C26" i="17"/>
  <c r="C27" i="17" s="1"/>
  <c r="J5" i="13" s="1"/>
  <c r="C14" i="15"/>
  <c r="C32" i="17"/>
  <c r="C33" i="17" s="1"/>
  <c r="J6" i="13" s="1"/>
  <c r="C14" i="17"/>
  <c r="C32" i="15"/>
  <c r="C33" i="15" s="1"/>
  <c r="F6" i="13" s="1"/>
  <c r="C26" i="18"/>
  <c r="C27" i="18" s="1"/>
  <c r="L5" i="13" s="1"/>
  <c r="C14" i="7"/>
  <c r="C32" i="7"/>
  <c r="C26" i="7"/>
  <c r="C32" i="8"/>
  <c r="C14" i="8"/>
  <c r="C26" i="8"/>
  <c r="D19" i="8"/>
  <c r="D31" i="8"/>
  <c r="D13" i="8"/>
  <c r="D25" i="8"/>
  <c r="E13" i="8"/>
  <c r="E25" i="8"/>
  <c r="E19" i="8"/>
  <c r="E31" i="8"/>
  <c r="I11" i="4"/>
  <c r="K19" i="8"/>
  <c r="F19" i="8"/>
  <c r="H31" i="8"/>
  <c r="G19" i="8"/>
  <c r="K31" i="8"/>
  <c r="L25" i="8"/>
  <c r="H19" i="8"/>
  <c r="O19" i="8"/>
  <c r="L19" i="8"/>
  <c r="H25" i="8"/>
  <c r="L31" i="8"/>
  <c r="P31" i="8"/>
  <c r="F31" i="8"/>
  <c r="F25" i="8"/>
  <c r="G31" i="8"/>
  <c r="G25" i="8"/>
  <c r="R31" i="8"/>
  <c r="R25" i="8"/>
  <c r="R19" i="8"/>
  <c r="R13" i="8"/>
  <c r="Q25" i="8"/>
  <c r="Q19" i="8"/>
  <c r="Q13" i="8"/>
  <c r="Q31" i="8"/>
  <c r="P19" i="8"/>
  <c r="P13" i="8"/>
  <c r="O25" i="8"/>
  <c r="O13" i="8"/>
  <c r="N31" i="8"/>
  <c r="N19" i="8"/>
  <c r="N13" i="8"/>
  <c r="N25" i="8"/>
  <c r="M19" i="8"/>
  <c r="M13" i="8"/>
  <c r="M31" i="8"/>
  <c r="M25" i="8"/>
  <c r="O31" i="8"/>
  <c r="P25" i="8"/>
  <c r="K25" i="8"/>
  <c r="J25" i="8"/>
  <c r="J19" i="8"/>
  <c r="J31" i="8"/>
  <c r="I31" i="8"/>
  <c r="I19" i="8"/>
  <c r="I25" i="8"/>
  <c r="C19" i="8" l="1"/>
  <c r="E8" i="6"/>
  <c r="J8" i="6"/>
  <c r="O8" i="6"/>
  <c r="H8" i="6"/>
  <c r="I8" i="6"/>
  <c r="N8" i="6"/>
  <c r="L8" i="6"/>
  <c r="M8" i="6"/>
  <c r="G8" i="6"/>
  <c r="P8" i="6"/>
  <c r="F8" i="6"/>
  <c r="K8" i="6"/>
  <c r="J20" i="17"/>
  <c r="J20" i="18"/>
  <c r="J20" i="15"/>
  <c r="J20" i="16"/>
  <c r="C25" i="8"/>
  <c r="C27" i="8" s="1"/>
  <c r="D5" i="13" s="1"/>
  <c r="C31" i="8"/>
  <c r="C33" i="8" s="1"/>
  <c r="D6" i="13" s="1"/>
  <c r="C33" i="7"/>
  <c r="C7" i="14" s="1"/>
  <c r="J20" i="8"/>
  <c r="J20" i="7"/>
  <c r="J11" i="4"/>
  <c r="C9" i="8"/>
  <c r="C27" i="7"/>
  <c r="C6" i="14" s="1"/>
  <c r="K20" i="18" l="1"/>
  <c r="K20" i="15"/>
  <c r="K20" i="16"/>
  <c r="K20" i="17"/>
  <c r="K20" i="8"/>
  <c r="K20" i="7"/>
  <c r="K11" i="4"/>
  <c r="B6" i="13"/>
  <c r="B5" i="13"/>
  <c r="L20" i="17" l="1"/>
  <c r="L20" i="18"/>
  <c r="L20" i="16"/>
  <c r="L20" i="15"/>
  <c r="L20" i="8"/>
  <c r="L20" i="7"/>
  <c r="L11" i="4"/>
  <c r="N6" i="13"/>
  <c r="N5" i="13"/>
  <c r="M20" i="16" l="1"/>
  <c r="M20" i="18"/>
  <c r="M20" i="15"/>
  <c r="M20" i="17"/>
  <c r="M20" i="8"/>
  <c r="M20" i="7"/>
  <c r="M11" i="4"/>
  <c r="N20" i="17" l="1"/>
  <c r="N20" i="18"/>
  <c r="N20" i="16"/>
  <c r="N20" i="15"/>
  <c r="N20" i="8"/>
  <c r="N20" i="7"/>
  <c r="N11" i="4"/>
  <c r="O20" i="18" l="1"/>
  <c r="O20" i="15"/>
  <c r="O20" i="16"/>
  <c r="O20" i="17"/>
  <c r="O20" i="8"/>
  <c r="O20" i="7"/>
  <c r="O11" i="4"/>
  <c r="P20" i="17" l="1"/>
  <c r="C20" i="17" s="1"/>
  <c r="C21" i="17" s="1"/>
  <c r="J4" i="13" s="1"/>
  <c r="P20" i="18"/>
  <c r="C20" i="18" s="1"/>
  <c r="C21" i="18" s="1"/>
  <c r="L4" i="13" s="1"/>
  <c r="P20" i="16"/>
  <c r="C20" i="16" s="1"/>
  <c r="C21" i="16" s="1"/>
  <c r="H4" i="13" s="1"/>
  <c r="P20" i="15"/>
  <c r="C20" i="15" s="1"/>
  <c r="C21" i="15" s="1"/>
  <c r="F4" i="13" s="1"/>
  <c r="P20" i="8"/>
  <c r="C20" i="8" s="1"/>
  <c r="C21" i="8" s="1"/>
  <c r="D4" i="13" s="1"/>
  <c r="P20" i="7"/>
  <c r="C9" i="6" l="1"/>
  <c r="J9" i="6"/>
  <c r="E9" i="6"/>
  <c r="G9" i="6"/>
  <c r="N9" i="6"/>
  <c r="P9" i="6"/>
  <c r="M9" i="6"/>
  <c r="O9" i="6"/>
  <c r="K9" i="6"/>
  <c r="D9" i="6"/>
  <c r="I9" i="6"/>
  <c r="L9" i="6"/>
  <c r="F9" i="6"/>
  <c r="H9" i="6"/>
  <c r="C20" i="7"/>
  <c r="C21" i="7" s="1"/>
  <c r="C5" i="14" s="1"/>
  <c r="B4" i="13" l="1"/>
  <c r="N4" i="13" l="1"/>
  <c r="I11" i="18" l="1"/>
  <c r="I12" i="18" s="1"/>
  <c r="I13" i="18" s="1"/>
  <c r="H12" i="7"/>
  <c r="H13" i="7" s="1"/>
  <c r="K12" i="7"/>
  <c r="K13" i="7" s="1"/>
  <c r="L11" i="16"/>
  <c r="L12" i="16" s="1"/>
  <c r="L13" i="16" s="1"/>
  <c r="G11" i="15"/>
  <c r="G12" i="15" s="1"/>
  <c r="G13" i="15" s="1"/>
  <c r="I11" i="16"/>
  <c r="I12" i="16" s="1"/>
  <c r="I13" i="16" s="1"/>
  <c r="H11" i="16"/>
  <c r="H12" i="16" s="1"/>
  <c r="H13" i="16" s="1"/>
  <c r="G11" i="18"/>
  <c r="G12" i="18"/>
  <c r="G13" i="18" s="1"/>
  <c r="J11" i="15"/>
  <c r="J12" i="15" s="1"/>
  <c r="J13" i="15" s="1"/>
  <c r="J11" i="18"/>
  <c r="J12" i="18" s="1"/>
  <c r="J13" i="18" s="1"/>
  <c r="J11" i="17"/>
  <c r="J12" i="17" s="1"/>
  <c r="J13" i="17" s="1"/>
  <c r="J12" i="7"/>
  <c r="J13" i="7" s="1"/>
  <c r="L12" i="7"/>
  <c r="L13" i="7" s="1"/>
  <c r="I12" i="7"/>
  <c r="I13" i="7" s="1"/>
  <c r="G12" i="7"/>
  <c r="G13" i="7" s="1"/>
  <c r="J11" i="8"/>
  <c r="J12" i="8" s="1"/>
  <c r="J13" i="8" s="1"/>
  <c r="K11" i="8"/>
  <c r="K12" i="8" s="1"/>
  <c r="K13" i="8" s="1"/>
  <c r="L11" i="8"/>
  <c r="L12" i="8" s="1"/>
  <c r="L13" i="8" s="1"/>
  <c r="I11" i="8"/>
  <c r="I12" i="8" s="1"/>
  <c r="I13" i="8" s="1"/>
  <c r="H11" i="8"/>
  <c r="H12" i="8" s="1"/>
  <c r="H13" i="8" s="1"/>
  <c r="G11" i="8"/>
  <c r="G12" i="8"/>
  <c r="G13" i="8" s="1"/>
  <c r="F11" i="8"/>
  <c r="F12" i="8" s="1"/>
  <c r="L11" i="18"/>
  <c r="L12" i="18" s="1"/>
  <c r="L13" i="18" s="1"/>
  <c r="I11" i="15"/>
  <c r="I12" i="15" s="1"/>
  <c r="I13" i="15" s="1"/>
  <c r="K11" i="15"/>
  <c r="K12" i="15"/>
  <c r="K13" i="15" s="1"/>
  <c r="H11" i="18"/>
  <c r="H12" i="18" s="1"/>
  <c r="H13" i="18" s="1"/>
  <c r="K11" i="16"/>
  <c r="K12" i="16" s="1"/>
  <c r="K13" i="16" s="1"/>
  <c r="L11" i="15"/>
  <c r="L12" i="15" s="1"/>
  <c r="L13" i="15" s="1"/>
  <c r="H11" i="17"/>
  <c r="H12" i="17" s="1"/>
  <c r="H13" i="17" s="1"/>
  <c r="K11" i="17"/>
  <c r="K12" i="17" s="1"/>
  <c r="K13" i="17" s="1"/>
  <c r="L11" i="17"/>
  <c r="L12" i="17" s="1"/>
  <c r="L13" i="17" s="1"/>
  <c r="J11" i="16"/>
  <c r="J12" i="16" s="1"/>
  <c r="J13" i="16" s="1"/>
  <c r="G11" i="16"/>
  <c r="G12" i="16" s="1"/>
  <c r="G13" i="16" s="1"/>
  <c r="H11" i="15"/>
  <c r="H12" i="15"/>
  <c r="H13" i="15" s="1"/>
  <c r="K11" i="18"/>
  <c r="K12" i="18" s="1"/>
  <c r="K13" i="18" s="1"/>
  <c r="F11" i="16"/>
  <c r="F12" i="16" s="1"/>
  <c r="F11" i="15"/>
  <c r="F12" i="15" s="1"/>
  <c r="F11" i="18"/>
  <c r="F12" i="18" s="1"/>
  <c r="G11" i="17"/>
  <c r="G12" i="17" s="1"/>
  <c r="G13" i="17" s="1"/>
  <c r="I11" i="17"/>
  <c r="I12" i="17" s="1"/>
  <c r="I13" i="17" s="1"/>
  <c r="F11" i="17"/>
  <c r="F12" i="17" s="1"/>
  <c r="F12" i="7"/>
  <c r="F13" i="7"/>
  <c r="C12" i="7" l="1"/>
  <c r="C12" i="17"/>
  <c r="F13" i="17"/>
  <c r="C13" i="17" s="1"/>
  <c r="C15" i="17" s="1"/>
  <c r="J3" i="13" s="1"/>
  <c r="C12" i="15"/>
  <c r="F13" i="15"/>
  <c r="C13" i="15" s="1"/>
  <c r="C15" i="15" s="1"/>
  <c r="F3" i="13" s="1"/>
  <c r="F13" i="16"/>
  <c r="C13" i="16" s="1"/>
  <c r="C15" i="16" s="1"/>
  <c r="H3" i="13" s="1"/>
  <c r="C12" i="16"/>
  <c r="C13" i="7"/>
  <c r="C15" i="7" s="1"/>
  <c r="C4" i="14" s="1"/>
  <c r="F13" i="8"/>
  <c r="C13" i="8" s="1"/>
  <c r="C15" i="8" s="1"/>
  <c r="D3" i="13" s="1"/>
  <c r="C12" i="8"/>
  <c r="F13" i="18"/>
  <c r="C13" i="18" s="1"/>
  <c r="C15" i="18" s="1"/>
  <c r="L3" i="13" s="1"/>
  <c r="C12" i="18"/>
  <c r="M4" i="13" l="1"/>
  <c r="M6" i="13"/>
  <c r="M5" i="13"/>
  <c r="M3" i="13"/>
  <c r="K3" i="13"/>
  <c r="K6" i="13"/>
  <c r="K4" i="13"/>
  <c r="K5" i="13"/>
  <c r="I6" i="13"/>
  <c r="I4" i="13"/>
  <c r="I5" i="13"/>
  <c r="I3" i="13"/>
  <c r="G6" i="13"/>
  <c r="G3" i="13"/>
  <c r="G5" i="13"/>
  <c r="G4" i="13"/>
  <c r="E5" i="13"/>
  <c r="E6" i="13"/>
  <c r="E3" i="13"/>
  <c r="E4" i="13"/>
  <c r="B3" i="13"/>
  <c r="C3" i="13" l="1"/>
  <c r="C4" i="13"/>
  <c r="C5" i="13"/>
  <c r="C6" i="13"/>
  <c r="N3" i="13"/>
  <c r="O3" i="13" l="1"/>
  <c r="D4" i="14" s="1"/>
  <c r="O4" i="13"/>
  <c r="D5" i="14" s="1"/>
  <c r="O5" i="13"/>
  <c r="D6" i="14" s="1"/>
  <c r="O6" i="13"/>
  <c r="D7" i="14" s="1"/>
</calcChain>
</file>

<file path=xl/sharedStrings.xml><?xml version="1.0" encoding="utf-8"?>
<sst xmlns="http://schemas.openxmlformats.org/spreadsheetml/2006/main" count="271" uniqueCount="56">
  <si>
    <t>Weighted Cost of EUSE</t>
  </si>
  <si>
    <t>Capital</t>
  </si>
  <si>
    <t>Operational</t>
  </si>
  <si>
    <t>Discount Rate</t>
  </si>
  <si>
    <t>Option 2</t>
  </si>
  <si>
    <t>Option 3</t>
  </si>
  <si>
    <t>Option 4</t>
  </si>
  <si>
    <t>Year</t>
  </si>
  <si>
    <t>Do Nothing</t>
  </si>
  <si>
    <t>Benefits</t>
  </si>
  <si>
    <t>Costs</t>
  </si>
  <si>
    <t>Net Economic Benefit</t>
  </si>
  <si>
    <t>VCR</t>
  </si>
  <si>
    <t>Option</t>
  </si>
  <si>
    <t>Net Economic Benefit ($)</t>
  </si>
  <si>
    <t>Discount Rate High
(8.26%)</t>
  </si>
  <si>
    <t>Investment Cost High
(+30%)</t>
  </si>
  <si>
    <t>Investment Cost Low
(-30%)</t>
  </si>
  <si>
    <t>VCR Low
(-20%)</t>
  </si>
  <si>
    <t>VCR High
(+20%)</t>
  </si>
  <si>
    <t>Rank</t>
  </si>
  <si>
    <t>Base (planning) scenario</t>
  </si>
  <si>
    <t>Average Net Economic benefit ($)</t>
  </si>
  <si>
    <t>Overall Rank of Feasible Options</t>
  </si>
  <si>
    <t>Inflation Rate</t>
  </si>
  <si>
    <t>Augmentation option</t>
  </si>
  <si>
    <t>Project ranking</t>
  </si>
  <si>
    <t>Table 8-2: Market benefits of augmentation options relative to the base case</t>
  </si>
  <si>
    <t>yes</t>
  </si>
  <si>
    <t>Include Option in Ranking?</t>
  </si>
  <si>
    <t>Base Case - Do Nothing</t>
  </si>
  <si>
    <t>Option 1 - Reconductor the 66kV loop with higher capacity conductor in 2019</t>
  </si>
  <si>
    <t>Option 2 - Install a new KTS-MAT 66kV line to form a four legged 66kV loop in 2019</t>
  </si>
  <si>
    <t>O&amp;M cost</t>
  </si>
  <si>
    <t>Option 1</t>
  </si>
  <si>
    <t>Real $2017</t>
  </si>
  <si>
    <t xml:space="preserve">Option costs </t>
  </si>
  <si>
    <t>$2017 Real</t>
  </si>
  <si>
    <t>Weighted EUSE (MWh)</t>
  </si>
  <si>
    <t>Option costs</t>
  </si>
  <si>
    <t xml:space="preserve"> $2017 Real</t>
  </si>
  <si>
    <t>Cost Sensitivity</t>
  </si>
  <si>
    <t>Note:  Option 4 addresses KTS-TMA-MAT EUSE but AW-PV becomes two legged loop making things  worse during KTS-AW outage. Hence the NPV is -ve for this option</t>
  </si>
  <si>
    <t>Total lifecycle project cost (2017-2032) ($M, real 2017)</t>
  </si>
  <si>
    <t>N/A</t>
  </si>
  <si>
    <t>NPV of net economic benefit (2017-2032 ) $M</t>
  </si>
  <si>
    <t>Base case ( Do nothing) EUSE</t>
  </si>
  <si>
    <t>Annualised benefits after implementation of Option 3 ($)</t>
  </si>
  <si>
    <t>Annualised cost for Option 3 ($)</t>
  </si>
  <si>
    <t>Annualised cost for Option 3 ($M)</t>
  </si>
  <si>
    <t>PV cost (Capital and Operational) $</t>
  </si>
  <si>
    <t>Annualised benefits after implementation of Option 3 ($M) - planning</t>
  </si>
  <si>
    <t>moderate</t>
  </si>
  <si>
    <t>fast</t>
  </si>
  <si>
    <t>Option 3 - Split the existing 66kV loop by installing one additional 66kV line in 2019</t>
  </si>
  <si>
    <t>Option 4 - Split the existing 66kV loop by installing two additional 66kV lines in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</si>
</sst>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0.0"/>
    <numFmt numFmtId="165" formatCode="_-&quot;$&quot;* #,##0_-;\-&quot;$&quot;* #,##0_-;_-&quot;$&quot;* &quot;-&quot;??_-;_-@_-"/>
    <numFmt numFmtId="166" formatCode="&quot;$&quot;#,##0"/>
    <numFmt numFmtId="167" formatCode="_-&quot;$&quot;* #,##0.0_-;\-&quot;$&quot;* #,##0.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Times New Roman"/>
      <family val="1"/>
    </font>
    <font>
      <sz val="9"/>
      <color theme="1"/>
      <name val="Arial"/>
      <family val="2"/>
    </font>
    <font>
      <b/>
      <sz val="9"/>
      <color rgb="FFFFFFFF"/>
      <name val="Arial"/>
      <family val="2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26CB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26BCD7"/>
      </left>
      <right style="medium">
        <color rgb="FF26BCD7"/>
      </right>
      <top style="medium">
        <color rgb="FF26BCD7"/>
      </top>
      <bottom style="medium">
        <color rgb="FF26BCD7"/>
      </bottom>
      <diagonal/>
    </border>
    <border>
      <left/>
      <right style="medium">
        <color rgb="FF26BCD7"/>
      </right>
      <top style="medium">
        <color rgb="FF26BCD7"/>
      </top>
      <bottom style="medium">
        <color rgb="FF26BCD7"/>
      </bottom>
      <diagonal/>
    </border>
    <border>
      <left style="medium">
        <color rgb="FF26BCD7"/>
      </left>
      <right style="medium">
        <color rgb="FF26BCD7"/>
      </right>
      <top/>
      <bottom style="medium">
        <color rgb="FF26BCD7"/>
      </bottom>
      <diagonal/>
    </border>
    <border>
      <left/>
      <right style="medium">
        <color rgb="FF26BCD7"/>
      </right>
      <top/>
      <bottom style="medium">
        <color rgb="FF26BCD7"/>
      </bottom>
      <diagonal/>
    </border>
    <border>
      <left style="double">
        <color rgb="FF26BCD7"/>
      </left>
      <right style="medium">
        <color rgb="FF26BCD7"/>
      </right>
      <top style="medium">
        <color rgb="FF26BCD7"/>
      </top>
      <bottom style="medium">
        <color rgb="FF26BCD7"/>
      </bottom>
      <diagonal/>
    </border>
    <border>
      <left style="double">
        <color rgb="FF26BCD7"/>
      </left>
      <right style="medium">
        <color rgb="FF26BCD7"/>
      </right>
      <top/>
      <bottom style="medium">
        <color rgb="FF26BCD7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vertical="center" wrapText="1"/>
    </xf>
    <xf numFmtId="8" fontId="0" fillId="0" borderId="0" xfId="0" applyNumberFormat="1"/>
    <xf numFmtId="6" fontId="0" fillId="0" borderId="0" xfId="0" applyNumberFormat="1" applyAlignment="1">
      <alignment vertical="center" wrapText="1"/>
    </xf>
    <xf numFmtId="6" fontId="0" fillId="0" borderId="0" xfId="0" applyNumberFormat="1"/>
    <xf numFmtId="10" fontId="0" fillId="0" borderId="0" xfId="2" applyNumberFormat="1" applyFont="1"/>
    <xf numFmtId="0" fontId="2" fillId="2" borderId="0" xfId="0" applyFont="1" applyFill="1"/>
    <xf numFmtId="165" fontId="2" fillId="2" borderId="0" xfId="0" applyNumberFormat="1" applyFont="1" applyFill="1"/>
    <xf numFmtId="0" fontId="2" fillId="2" borderId="0" xfId="0" applyFont="1" applyFill="1" applyAlignment="1">
      <alignment vertical="center" wrapText="1"/>
    </xf>
    <xf numFmtId="0" fontId="0" fillId="0" borderId="0" xfId="0" applyFill="1"/>
    <xf numFmtId="0" fontId="2" fillId="0" borderId="0" xfId="0" applyFont="1" applyFill="1"/>
    <xf numFmtId="44" fontId="2" fillId="2" borderId="0" xfId="0" applyNumberFormat="1" applyFont="1" applyFill="1"/>
    <xf numFmtId="0" fontId="0" fillId="0" borderId="0" xfId="0" applyBorder="1"/>
    <xf numFmtId="0" fontId="2" fillId="2" borderId="0" xfId="0" applyNumberFormat="1" applyFont="1" applyFill="1"/>
    <xf numFmtId="10" fontId="0" fillId="0" borderId="0" xfId="2" applyNumberFormat="1" applyFont="1" applyAlignment="1">
      <alignment vertical="center" wrapText="1"/>
    </xf>
    <xf numFmtId="0" fontId="0" fillId="0" borderId="0" xfId="0" applyAlignment="1"/>
    <xf numFmtId="164" fontId="0" fillId="0" borderId="0" xfId="0" applyNumberFormat="1" applyAlignment="1">
      <alignment vertical="center" wrapText="1"/>
    </xf>
    <xf numFmtId="165" fontId="2" fillId="0" borderId="0" xfId="0" applyNumberFormat="1" applyFont="1" applyFill="1"/>
    <xf numFmtId="0" fontId="2" fillId="0" borderId="0" xfId="0" applyNumberFormat="1" applyFont="1" applyFill="1"/>
    <xf numFmtId="0" fontId="0" fillId="0" borderId="0" xfId="0" applyFont="1" applyFill="1"/>
    <xf numFmtId="165" fontId="0" fillId="0" borderId="0" xfId="0" applyNumberFormat="1" applyFont="1" applyFill="1"/>
    <xf numFmtId="0" fontId="2" fillId="0" borderId="0" xfId="0" applyFont="1"/>
    <xf numFmtId="6" fontId="0" fillId="0" borderId="0" xfId="0" applyNumberFormat="1" applyBorder="1"/>
    <xf numFmtId="6" fontId="0" fillId="0" borderId="1" xfId="0" applyNumberFormat="1" applyBorder="1"/>
    <xf numFmtId="0" fontId="0" fillId="0" borderId="1" xfId="0" applyBorder="1"/>
    <xf numFmtId="6" fontId="0" fillId="0" borderId="8" xfId="0" applyNumberFormat="1" applyBorder="1"/>
    <xf numFmtId="6" fontId="0" fillId="0" borderId="7" xfId="0" applyNumberFormat="1" applyBorder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0" borderId="4" xfId="1" applyNumberFormat="1" applyFont="1" applyBorder="1"/>
    <xf numFmtId="165" fontId="0" fillId="0" borderId="5" xfId="1" applyNumberFormat="1" applyFont="1" applyBorder="1"/>
    <xf numFmtId="0" fontId="0" fillId="0" borderId="0" xfId="0" applyFont="1" applyAlignment="1">
      <alignment vertical="center" wrapText="1"/>
    </xf>
    <xf numFmtId="10" fontId="1" fillId="0" borderId="0" xfId="2" applyNumberFormat="1" applyFont="1" applyFill="1"/>
    <xf numFmtId="0" fontId="0" fillId="0" borderId="0" xfId="0" applyFont="1"/>
    <xf numFmtId="44" fontId="0" fillId="2" borderId="0" xfId="0" applyNumberFormat="1" applyFont="1" applyFill="1"/>
    <xf numFmtId="165" fontId="0" fillId="2" borderId="0" xfId="0" applyNumberFormat="1" applyFont="1" applyFill="1"/>
    <xf numFmtId="44" fontId="1" fillId="0" borderId="0" xfId="1" applyFont="1" applyAlignment="1">
      <alignment vertical="center" wrapText="1"/>
    </xf>
    <xf numFmtId="44" fontId="0" fillId="0" borderId="0" xfId="0" applyNumberFormat="1" applyFont="1" applyAlignment="1">
      <alignment vertical="center" wrapText="1"/>
    </xf>
    <xf numFmtId="6" fontId="0" fillId="0" borderId="0" xfId="0" applyNumberFormat="1" applyFont="1" applyAlignment="1">
      <alignment vertical="center" wrapText="1"/>
    </xf>
    <xf numFmtId="166" fontId="0" fillId="0" borderId="0" xfId="0" applyNumberFormat="1" applyFont="1" applyAlignment="1">
      <alignment vertical="center" wrapText="1"/>
    </xf>
    <xf numFmtId="44" fontId="1" fillId="0" borderId="0" xfId="1" applyNumberFormat="1" applyFont="1" applyAlignment="1">
      <alignment vertical="center" wrapText="1"/>
    </xf>
    <xf numFmtId="166" fontId="0" fillId="0" borderId="0" xfId="0" applyNumberFormat="1" applyFont="1"/>
    <xf numFmtId="0" fontId="3" fillId="0" borderId="0" xfId="0" applyFont="1"/>
    <xf numFmtId="0" fontId="3" fillId="0" borderId="0" xfId="0" applyFont="1" applyFill="1" applyBorder="1" applyAlignment="1">
      <alignment horizontal="right"/>
    </xf>
    <xf numFmtId="165" fontId="3" fillId="0" borderId="0" xfId="0" applyNumberFormat="1" applyFont="1" applyBorder="1"/>
    <xf numFmtId="0" fontId="3" fillId="3" borderId="0" xfId="0" applyFont="1" applyFill="1" applyAlignment="1">
      <alignment horizontal="right"/>
    </xf>
    <xf numFmtId="165" fontId="3" fillId="3" borderId="0" xfId="0" applyNumberFormat="1" applyFont="1" applyFill="1"/>
    <xf numFmtId="8" fontId="3" fillId="0" borderId="0" xfId="0" applyNumberFormat="1" applyFont="1" applyBorder="1"/>
    <xf numFmtId="165" fontId="0" fillId="3" borderId="0" xfId="0" applyNumberFormat="1" applyFont="1" applyFill="1"/>
    <xf numFmtId="0" fontId="3" fillId="4" borderId="0" xfId="0" applyFont="1" applyFill="1" applyBorder="1" applyAlignment="1">
      <alignment horizontal="right"/>
    </xf>
    <xf numFmtId="165" fontId="3" fillId="4" borderId="0" xfId="0" applyNumberFormat="1" applyFont="1" applyFill="1"/>
    <xf numFmtId="165" fontId="0" fillId="4" borderId="0" xfId="0" applyNumberFormat="1" applyFont="1" applyFill="1"/>
    <xf numFmtId="0" fontId="3" fillId="4" borderId="0" xfId="0" applyFont="1" applyFill="1" applyAlignment="1">
      <alignment horizontal="right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2" xfId="0" applyBorder="1"/>
    <xf numFmtId="0" fontId="0" fillId="0" borderId="6" xfId="0" applyBorder="1"/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left" vertical="center" wrapText="1"/>
    </xf>
    <xf numFmtId="2" fontId="4" fillId="0" borderId="14" xfId="0" applyNumberFormat="1" applyFont="1" applyBorder="1" applyAlignment="1">
      <alignment horizontal="center" vertical="center" wrapText="1"/>
    </xf>
    <xf numFmtId="6" fontId="0" fillId="0" borderId="8" xfId="0" applyNumberFormat="1" applyFill="1" applyBorder="1"/>
    <xf numFmtId="0" fontId="0" fillId="0" borderId="0" xfId="0" applyFill="1" applyBorder="1"/>
    <xf numFmtId="6" fontId="0" fillId="0" borderId="0" xfId="0" applyNumberFormat="1" applyFill="1" applyBorder="1"/>
    <xf numFmtId="6" fontId="0" fillId="0" borderId="0" xfId="0" applyNumberFormat="1" applyFill="1"/>
    <xf numFmtId="0" fontId="0" fillId="0" borderId="0" xfId="0" applyFont="1" applyAlignment="1"/>
    <xf numFmtId="165" fontId="0" fillId="0" borderId="0" xfId="0" applyNumberFormat="1" applyFont="1" applyAlignment="1">
      <alignment vertical="center" wrapText="1"/>
    </xf>
    <xf numFmtId="166" fontId="0" fillId="0" borderId="0" xfId="0" applyNumberFormat="1" applyFont="1" applyFill="1" applyAlignment="1">
      <alignment vertical="center" wrapText="1"/>
    </xf>
    <xf numFmtId="0" fontId="6" fillId="0" borderId="0" xfId="0" applyFont="1" applyAlignment="1">
      <alignment vertical="center"/>
    </xf>
    <xf numFmtId="165" fontId="0" fillId="0" borderId="0" xfId="0" applyNumberFormat="1"/>
    <xf numFmtId="165" fontId="6" fillId="0" borderId="0" xfId="0" applyNumberFormat="1" applyFont="1"/>
    <xf numFmtId="0" fontId="2" fillId="0" borderId="4" xfId="0" applyFont="1" applyBorder="1"/>
    <xf numFmtId="8" fontId="0" fillId="0" borderId="1" xfId="0" applyNumberFormat="1" applyBorder="1"/>
    <xf numFmtId="167" fontId="0" fillId="0" borderId="1" xfId="1" applyNumberFormat="1" applyFont="1" applyBorder="1"/>
    <xf numFmtId="167" fontId="0" fillId="0" borderId="6" xfId="1" applyNumberFormat="1" applyFont="1" applyBorder="1"/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6BCD7"/>
      <color rgb="FFF582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6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24010996752748"/>
          <c:y val="0.14582728599990077"/>
          <c:w val="0.80730897401869706"/>
          <c:h val="0.62276863883043632"/>
        </c:manualLayout>
      </c:layout>
      <c:scatterChart>
        <c:scatterStyle val="smoothMarker"/>
        <c:varyColors val="0"/>
        <c:ser>
          <c:idx val="0"/>
          <c:order val="0"/>
          <c:tx>
            <c:v>Annualised cost for Option 3</c:v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xVal>
            <c:numRef>
              <c:f>'Opt 3 - Economic timing'!$B$4:$P$4</c:f>
              <c:numCache>
                <c:formatCode>General</c:formatCode>
                <c:ptCount val="1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</c:numCache>
            </c:numRef>
          </c:xVal>
          <c:yVal>
            <c:numRef>
              <c:f>'Opt 3 - Economic timing'!$B$9:$P$9</c:f>
              <c:numCache>
                <c:formatCode>_-"$"* #,##0.0_-;\-"$"* #,##0.0_-;_-"$"* "-"??_-;_-@_-</c:formatCode>
                <c:ptCount val="15"/>
                <c:pt idx="0">
                  <c:v>0.40306468644102245</c:v>
                </c:pt>
                <c:pt idx="1">
                  <c:v>0.40306468644102245</c:v>
                </c:pt>
                <c:pt idx="2">
                  <c:v>0.40306468644102245</c:v>
                </c:pt>
                <c:pt idx="3">
                  <c:v>0.40306468644102245</c:v>
                </c:pt>
                <c:pt idx="4">
                  <c:v>0.40306468644102245</c:v>
                </c:pt>
                <c:pt idx="5">
                  <c:v>0.40306468644102245</c:v>
                </c:pt>
                <c:pt idx="6">
                  <c:v>0.40306468644102245</c:v>
                </c:pt>
                <c:pt idx="7">
                  <c:v>0.40306468644102245</c:v>
                </c:pt>
                <c:pt idx="8">
                  <c:v>0.40306468644102245</c:v>
                </c:pt>
                <c:pt idx="9">
                  <c:v>0.40306468644102245</c:v>
                </c:pt>
                <c:pt idx="10">
                  <c:v>0.40306468644102245</c:v>
                </c:pt>
                <c:pt idx="11">
                  <c:v>0.40306468644102245</c:v>
                </c:pt>
                <c:pt idx="12">
                  <c:v>0.40306468644102245</c:v>
                </c:pt>
                <c:pt idx="13">
                  <c:v>0.40306468644102245</c:v>
                </c:pt>
                <c:pt idx="14">
                  <c:v>0.40306468644102245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326-4E87-B3BA-58E792AD38DE}"/>
            </c:ext>
          </c:extLst>
        </c:ser>
        <c:ser>
          <c:idx val="3"/>
          <c:order val="1"/>
          <c:tx>
            <c:v>Planning growth</c:v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xVal>
            <c:numRef>
              <c:f>'Opt 3 - Economic timing'!$B$4:$P$4</c:f>
              <c:numCache>
                <c:formatCode>General</c:formatCode>
                <c:ptCount val="1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</c:numCache>
            </c:numRef>
          </c:xVal>
          <c:yVal>
            <c:numRef>
              <c:f>'Opt 3 - Economic timing'!$B$7:$P$7</c:f>
              <c:numCache>
                <c:formatCode>"$"#,##0.00_);[Red]\("$"#,##0.00\)</c:formatCode>
                <c:ptCount val="15"/>
                <c:pt idx="0">
                  <c:v>-7.7168028037796039E-4</c:v>
                </c:pt>
                <c:pt idx="1">
                  <c:v>-7.7168028037796039E-4</c:v>
                </c:pt>
                <c:pt idx="2">
                  <c:v>1.4585660961392346E-2</c:v>
                </c:pt>
                <c:pt idx="3">
                  <c:v>0.12383874131794563</c:v>
                </c:pt>
                <c:pt idx="4">
                  <c:v>0.14052489321108896</c:v>
                </c:pt>
                <c:pt idx="5">
                  <c:v>0.37673801167516713</c:v>
                </c:pt>
                <c:pt idx="6">
                  <c:v>0.8726971506062664</c:v>
                </c:pt>
                <c:pt idx="7">
                  <c:v>1.5729327780189719</c:v>
                </c:pt>
                <c:pt idx="8">
                  <c:v>4.1058782236833453</c:v>
                </c:pt>
                <c:pt idx="9">
                  <c:v>5.6349529849956204</c:v>
                </c:pt>
                <c:pt idx="10">
                  <c:v>5.6349529849956204</c:v>
                </c:pt>
                <c:pt idx="11">
                  <c:v>5.6349529849956204</c:v>
                </c:pt>
                <c:pt idx="12">
                  <c:v>5.6349529849956204</c:v>
                </c:pt>
                <c:pt idx="13">
                  <c:v>5.6349529849956204</c:v>
                </c:pt>
                <c:pt idx="14">
                  <c:v>5.6349529849956204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326-4E87-B3BA-58E792AD38DE}"/>
            </c:ext>
          </c:extLst>
        </c:ser>
        <c:ser>
          <c:idx val="1"/>
          <c:order val="2"/>
          <c:tx>
            <c:v>Moderate growth</c:v>
          </c:tx>
          <c:marker>
            <c:symbol val="none"/>
          </c:marker>
          <c:xVal>
            <c:numRef>
              <c:f>'Opt 3 - Economic timing'!$B$4:$P$4</c:f>
              <c:numCache>
                <c:formatCode>General</c:formatCode>
                <c:ptCount val="1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</c:numCache>
            </c:numRef>
          </c:xVal>
          <c:yVal>
            <c:numRef>
              <c:f>'Opt 3 - Economic timing'!$B$11:$P$11</c:f>
              <c:numCache>
                <c:formatCode>General</c:formatCode>
                <c:ptCount val="15"/>
                <c:pt idx="0">
                  <c:v>-1.7073465780834303E-2</c:v>
                </c:pt>
                <c:pt idx="1">
                  <c:v>-0.25237404680571446</c:v>
                </c:pt>
                <c:pt idx="2">
                  <c:v>1.1377040495223454</c:v>
                </c:pt>
                <c:pt idx="3">
                  <c:v>2.0953756437181061</c:v>
                </c:pt>
                <c:pt idx="4">
                  <c:v>5.050069149216065</c:v>
                </c:pt>
                <c:pt idx="5">
                  <c:v>11.707955904245511</c:v>
                </c:pt>
                <c:pt idx="6">
                  <c:v>20.226706779029925</c:v>
                </c:pt>
                <c:pt idx="7">
                  <c:v>38.55575276769644</c:v>
                </c:pt>
                <c:pt idx="8">
                  <c:v>63.956927678132921</c:v>
                </c:pt>
                <c:pt idx="9">
                  <c:v>63.956927678132921</c:v>
                </c:pt>
                <c:pt idx="10">
                  <c:v>63.956927678132921</c:v>
                </c:pt>
                <c:pt idx="11">
                  <c:v>63.956927678132921</c:v>
                </c:pt>
                <c:pt idx="12">
                  <c:v>63.956927678132921</c:v>
                </c:pt>
                <c:pt idx="13">
                  <c:v>63.956927678132921</c:v>
                </c:pt>
                <c:pt idx="14">
                  <c:v>63.956927678132921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326-4E87-B3BA-58E792AD38DE}"/>
            </c:ext>
          </c:extLst>
        </c:ser>
        <c:ser>
          <c:idx val="2"/>
          <c:order val="3"/>
          <c:tx>
            <c:v>Fast growth</c:v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xVal>
            <c:numRef>
              <c:f>'Opt 3 - Economic timing'!$B$4:$P$4</c:f>
              <c:numCache>
                <c:formatCode>General</c:formatCode>
                <c:ptCount val="1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</c:numCache>
            </c:numRef>
          </c:xVal>
          <c:yVal>
            <c:numRef>
              <c:f>'Opt 3 - Economic timing'!$B$12:$P$12</c:f>
              <c:numCache>
                <c:formatCode>General</c:formatCode>
                <c:ptCount val="15"/>
                <c:pt idx="0">
                  <c:v>-0.30024527462176076</c:v>
                </c:pt>
                <c:pt idx="1">
                  <c:v>-2.4145805917877823</c:v>
                </c:pt>
                <c:pt idx="2">
                  <c:v>10.509330984639179</c:v>
                </c:pt>
                <c:pt idx="3">
                  <c:v>21.635078328279779</c:v>
                </c:pt>
                <c:pt idx="4">
                  <c:v>26.086640486021142</c:v>
                </c:pt>
                <c:pt idx="5">
                  <c:v>33.786780401333644</c:v>
                </c:pt>
                <c:pt idx="6">
                  <c:v>38.633973808793648</c:v>
                </c:pt>
                <c:pt idx="7">
                  <c:v>52.442966177926273</c:v>
                </c:pt>
                <c:pt idx="8">
                  <c:v>63.956927678132921</c:v>
                </c:pt>
                <c:pt idx="9">
                  <c:v>63.956927678132921</c:v>
                </c:pt>
                <c:pt idx="10">
                  <c:v>63.956927678132921</c:v>
                </c:pt>
                <c:pt idx="11">
                  <c:v>63.956927678132921</c:v>
                </c:pt>
                <c:pt idx="12">
                  <c:v>63.956927678132921</c:v>
                </c:pt>
                <c:pt idx="13">
                  <c:v>63.956927678132921</c:v>
                </c:pt>
                <c:pt idx="14">
                  <c:v>63.956927678132921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326-4E87-B3BA-58E792AD3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2446976"/>
        <c:axId val="232449152"/>
      </c:scatterChart>
      <c:valAx>
        <c:axId val="232446976"/>
        <c:scaling>
          <c:orientation val="minMax"/>
          <c:max val="2032"/>
          <c:min val="201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AU" sz="1200"/>
                  <a:t>Year</a:t>
                </a:r>
              </a:p>
            </c:rich>
          </c:tx>
          <c:layout>
            <c:manualLayout>
              <c:xMode val="edge"/>
              <c:yMode val="edge"/>
              <c:x val="0.48767884776490267"/>
              <c:y val="0.8639594874170141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32449152"/>
        <c:crosses val="autoZero"/>
        <c:crossBetween val="midCat"/>
        <c:majorUnit val="1"/>
      </c:valAx>
      <c:valAx>
        <c:axId val="23244915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 sz="1200"/>
                  <a:t>Project</a:t>
                </a:r>
                <a:r>
                  <a:rPr lang="en-AU" sz="1200" baseline="0"/>
                  <a:t> annual costs benefits ($M)</a:t>
                </a:r>
                <a:endParaRPr lang="en-AU" sz="1200"/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crossAx val="232446976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0FB47B-7AF2-4A8F-8E59-512141ACDF5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zoomScaleNormal="100" workbookViewId="0">
      <selection activeCell="C13" sqref="C13"/>
    </sheetView>
  </sheetViews>
  <sheetFormatPr defaultRowHeight="14.4" x14ac:dyDescent="0.3"/>
  <cols>
    <col min="1" max="1" width="44.44140625" customWidth="1"/>
    <col min="2" max="2" width="11" customWidth="1"/>
    <col min="3" max="3" width="14" customWidth="1"/>
    <col min="4" max="4" width="11" customWidth="1"/>
    <col min="5" max="5" width="12.6640625" customWidth="1"/>
  </cols>
  <sheetData>
    <row r="1" spans="1:5" ht="15" thickBot="1" x14ac:dyDescent="0.35">
      <c r="A1" s="21" t="s">
        <v>27</v>
      </c>
    </row>
    <row r="2" spans="1:5" ht="72.599999999999994" thickBot="1" x14ac:dyDescent="0.35">
      <c r="A2" s="58" t="s">
        <v>25</v>
      </c>
      <c r="B2" s="63" t="s">
        <v>43</v>
      </c>
      <c r="C2" s="59" t="s">
        <v>45</v>
      </c>
      <c r="D2" s="59" t="s">
        <v>26</v>
      </c>
    </row>
    <row r="3" spans="1:5" ht="15" thickBot="1" x14ac:dyDescent="0.35">
      <c r="A3" s="60" t="s">
        <v>30</v>
      </c>
      <c r="B3" s="64"/>
      <c r="C3" s="62"/>
      <c r="D3" s="61" t="s">
        <v>44</v>
      </c>
      <c r="E3" s="2"/>
    </row>
    <row r="4" spans="1:5" ht="23.4" thickBot="1" x14ac:dyDescent="0.35">
      <c r="A4" s="60" t="s">
        <v>31</v>
      </c>
      <c r="B4" s="64">
        <f>'Option Costs'!B30/1000000</f>
        <v>13.084</v>
      </c>
      <c r="C4" s="62">
        <f>'Cost-Benefit (BASE)'!C15/1000000</f>
        <v>6.0684924589463023</v>
      </c>
      <c r="D4" s="61">
        <f>'Sensitivity Analysis Summary'!O3</f>
        <v>2</v>
      </c>
    </row>
    <row r="5" spans="1:5" ht="23.4" thickBot="1" x14ac:dyDescent="0.35">
      <c r="A5" s="60" t="s">
        <v>32</v>
      </c>
      <c r="B5" s="64">
        <f>'Option Costs'!B31/1000000</f>
        <v>15.375999999999999</v>
      </c>
      <c r="C5" s="62">
        <f>'Cost-Benefit (BASE)'!C21/1000000</f>
        <v>3.617340253434755</v>
      </c>
      <c r="D5" s="61">
        <f>'Sensitivity Analysis Summary'!O4</f>
        <v>3</v>
      </c>
    </row>
    <row r="6" spans="1:5" ht="23.4" thickBot="1" x14ac:dyDescent="0.35">
      <c r="A6" s="60" t="s">
        <v>54</v>
      </c>
      <c r="B6" s="64">
        <f>'Option Costs'!B32/1000000</f>
        <v>5.6459999999999999</v>
      </c>
      <c r="C6" s="62">
        <f>'Cost-Benefit (BASE)'!C27/1000000</f>
        <v>-34.157368778849992</v>
      </c>
      <c r="D6" s="61">
        <f>'Sensitivity Analysis Summary'!O5</f>
        <v>4</v>
      </c>
    </row>
    <row r="7" spans="1:5" ht="23.4" thickBot="1" x14ac:dyDescent="0.35">
      <c r="A7" s="60" t="s">
        <v>55</v>
      </c>
      <c r="B7" s="64">
        <f>'Option Costs'!B33/1000000</f>
        <v>10.430999999999999</v>
      </c>
      <c r="C7" s="62">
        <f>'Cost-Benefit (BASE)'!C33/1000000</f>
        <v>8.9065109367425812</v>
      </c>
      <c r="D7" s="61">
        <f>'Sensitivity Analysis Summary'!O6</f>
        <v>1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zoomScaleNormal="100" workbookViewId="0">
      <pane xSplit="3" ySplit="3" topLeftCell="D4" activePane="bottomRight" state="frozen"/>
      <selection pane="topRight" activeCell="F1" sqref="F1"/>
      <selection pane="bottomLeft" activeCell="A4" sqref="A4"/>
      <selection pane="bottomRight" activeCell="E35" sqref="E35:F35"/>
    </sheetView>
  </sheetViews>
  <sheetFormatPr defaultRowHeight="14.4" x14ac:dyDescent="0.3"/>
  <cols>
    <col min="1" max="1" width="23.88671875" bestFit="1" customWidth="1"/>
    <col min="2" max="2" width="11.44140625" bestFit="1" customWidth="1"/>
    <col min="3" max="3" width="25.6640625" bestFit="1" customWidth="1"/>
    <col min="4" max="4" width="12" bestFit="1" customWidth="1"/>
    <col min="5" max="5" width="12.44140625" bestFit="1" customWidth="1"/>
    <col min="6" max="6" width="13.109375" bestFit="1" customWidth="1"/>
    <col min="7" max="7" width="12.88671875" bestFit="1" customWidth="1"/>
    <col min="8" max="9" width="13.109375" bestFit="1" customWidth="1"/>
    <col min="10" max="11" width="13.5546875" bestFit="1" customWidth="1"/>
    <col min="12" max="12" width="13.109375" bestFit="1" customWidth="1"/>
    <col min="13" max="18" width="13.5546875" bestFit="1" customWidth="1"/>
  </cols>
  <sheetData>
    <row r="1" spans="1:18" s="10" customFormat="1" x14ac:dyDescent="0.3">
      <c r="A1" s="19" t="s">
        <v>12</v>
      </c>
      <c r="B1" s="20">
        <f>'Cost-Benefit (BASE)'!B1</f>
        <v>39440</v>
      </c>
      <c r="C1" s="17"/>
      <c r="D1" s="18">
        <v>2018</v>
      </c>
      <c r="E1" s="18">
        <v>2019</v>
      </c>
      <c r="F1" s="18">
        <v>2020</v>
      </c>
      <c r="G1" s="18">
        <v>2021</v>
      </c>
      <c r="H1" s="18">
        <v>2022</v>
      </c>
      <c r="I1" s="18">
        <v>2023</v>
      </c>
      <c r="J1" s="18">
        <v>2024</v>
      </c>
      <c r="K1" s="18">
        <v>2025</v>
      </c>
      <c r="L1" s="18">
        <v>2026</v>
      </c>
      <c r="M1" s="18">
        <v>2027</v>
      </c>
      <c r="N1" s="18">
        <v>2028</v>
      </c>
      <c r="O1" s="18">
        <v>2029</v>
      </c>
      <c r="P1" s="18">
        <v>2030</v>
      </c>
      <c r="Q1" s="18">
        <v>2031</v>
      </c>
      <c r="R1" s="18">
        <v>2032</v>
      </c>
    </row>
    <row r="2" spans="1:18" x14ac:dyDescent="0.3">
      <c r="A2" s="1" t="s">
        <v>3</v>
      </c>
      <c r="B2" s="14">
        <f>'Cost-Benefit (BASE)'!B2</f>
        <v>6.3700000000000007E-2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x14ac:dyDescent="0.3">
      <c r="A3" s="15" t="s">
        <v>41</v>
      </c>
      <c r="B3" s="15">
        <v>0.7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s="10" customFormat="1" x14ac:dyDescent="0.3">
      <c r="A4" s="6" t="s">
        <v>8</v>
      </c>
      <c r="B4" s="11"/>
      <c r="C4" s="7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x14ac:dyDescent="0.3">
      <c r="A5" s="1" t="s">
        <v>38</v>
      </c>
      <c r="B5" s="1"/>
      <c r="C5" s="1"/>
      <c r="D5" s="16">
        <f>'Cost-Benefit (BASE)'!D5</f>
        <v>1.9565930029867149E-2</v>
      </c>
      <c r="E5" s="16">
        <f>'Cost-Benefit (BASE)'!E5</f>
        <v>1.9565930029867149E-2</v>
      </c>
      <c r="F5" s="16">
        <f>'Cost-Benefit (BASE)'!F5</f>
        <v>0.36981898989331508</v>
      </c>
      <c r="G5" s="16">
        <f>'Cost-Benefit (BASE)'!G5</f>
        <v>3.1399275182034896</v>
      </c>
      <c r="H5" s="16">
        <f>'Cost-Benefit (BASE)'!H5</f>
        <v>3.5630043917618903</v>
      </c>
      <c r="I5" s="16">
        <f>'Cost-Benefit (BASE)'!I5</f>
        <v>9.552180823406875</v>
      </c>
      <c r="J5" s="16">
        <f>'Cost-Benefit (BASE)'!J5</f>
        <v>22.127209700970244</v>
      </c>
      <c r="K5" s="16">
        <f>'Cost-Benefit (BASE)'!K5</f>
        <v>39.881662728675757</v>
      </c>
      <c r="L5" s="16">
        <f>'Cost-Benefit (BASE)'!L5</f>
        <v>104.1044174361903</v>
      </c>
      <c r="M5" s="16">
        <f>'Cost-Benefit (BASE)'!M5</f>
        <v>142.87406148569016</v>
      </c>
      <c r="N5" s="16">
        <f>'Cost-Benefit (BASE)'!N5</f>
        <v>142.87406148569016</v>
      </c>
      <c r="O5" s="16">
        <f>'Cost-Benefit (BASE)'!O5</f>
        <v>142.87406148569016</v>
      </c>
      <c r="P5" s="16">
        <f>'Cost-Benefit (BASE)'!P5</f>
        <v>142.87406148569016</v>
      </c>
      <c r="Q5" s="16">
        <f>'Cost-Benefit (BASE)'!Q5</f>
        <v>142.87406148569016</v>
      </c>
      <c r="R5" s="16">
        <f>'Cost-Benefit (BASE)'!R5</f>
        <v>142.87406148569016</v>
      </c>
    </row>
    <row r="6" spans="1:18" x14ac:dyDescent="0.3">
      <c r="A6" s="1" t="s">
        <v>0</v>
      </c>
      <c r="B6" s="1"/>
      <c r="C6" s="3">
        <f>NPV($B$2,D6:R6)</f>
        <v>20066318.169319611</v>
      </c>
      <c r="D6" s="3">
        <f>D5*$B$1</f>
        <v>771.68028037796034</v>
      </c>
      <c r="E6" s="3">
        <f t="shared" ref="E6:R6" si="0">E5*$B$1</f>
        <v>771.68028037796034</v>
      </c>
      <c r="F6" s="3">
        <f t="shared" si="0"/>
        <v>14585.660961392347</v>
      </c>
      <c r="G6" s="3">
        <f t="shared" si="0"/>
        <v>123838.74131794563</v>
      </c>
      <c r="H6" s="3">
        <f t="shared" si="0"/>
        <v>140524.89321108896</v>
      </c>
      <c r="I6" s="3">
        <f t="shared" si="0"/>
        <v>376738.01167516713</v>
      </c>
      <c r="J6" s="3">
        <f t="shared" si="0"/>
        <v>872697.15060626646</v>
      </c>
      <c r="K6" s="3">
        <f t="shared" si="0"/>
        <v>1572932.7780189719</v>
      </c>
      <c r="L6" s="3">
        <f t="shared" si="0"/>
        <v>4105878.2236833456</v>
      </c>
      <c r="M6" s="3">
        <f t="shared" si="0"/>
        <v>5634952.9849956203</v>
      </c>
      <c r="N6" s="3">
        <f t="shared" si="0"/>
        <v>5634952.9849956203</v>
      </c>
      <c r="O6" s="3">
        <f t="shared" si="0"/>
        <v>5634952.9849956203</v>
      </c>
      <c r="P6" s="3">
        <f t="shared" si="0"/>
        <v>5634952.9849956203</v>
      </c>
      <c r="Q6" s="3">
        <f t="shared" si="0"/>
        <v>5634952.9849956203</v>
      </c>
      <c r="R6" s="3">
        <f t="shared" si="0"/>
        <v>5634952.9849956203</v>
      </c>
    </row>
    <row r="7" spans="1:18" x14ac:dyDescent="0.3">
      <c r="A7" s="1" t="s">
        <v>9</v>
      </c>
      <c r="B7" s="1"/>
      <c r="C7" s="3">
        <f t="shared" ref="C7:C8" si="1">NPV($B$2,D7:R7)</f>
        <v>-20066318.169319611</v>
      </c>
      <c r="D7" s="4">
        <f>0-D6</f>
        <v>-771.68028037796034</v>
      </c>
      <c r="E7" s="4">
        <f t="shared" ref="E7:R7" si="2">0-E6</f>
        <v>-771.68028037796034</v>
      </c>
      <c r="F7" s="4">
        <f t="shared" si="2"/>
        <v>-14585.660961392347</v>
      </c>
      <c r="G7" s="4">
        <f t="shared" si="2"/>
        <v>-123838.74131794563</v>
      </c>
      <c r="H7" s="4">
        <f t="shared" si="2"/>
        <v>-140524.89321108896</v>
      </c>
      <c r="I7" s="4">
        <f t="shared" si="2"/>
        <v>-376738.01167516713</v>
      </c>
      <c r="J7" s="4">
        <f t="shared" si="2"/>
        <v>-872697.15060626646</v>
      </c>
      <c r="K7" s="4">
        <f t="shared" si="2"/>
        <v>-1572932.7780189719</v>
      </c>
      <c r="L7" s="4">
        <f t="shared" si="2"/>
        <v>-4105878.2236833456</v>
      </c>
      <c r="M7" s="4">
        <f t="shared" si="2"/>
        <v>-5634952.9849956203</v>
      </c>
      <c r="N7" s="4">
        <f t="shared" si="2"/>
        <v>-5634952.9849956203</v>
      </c>
      <c r="O7" s="4">
        <f t="shared" si="2"/>
        <v>-5634952.9849956203</v>
      </c>
      <c r="P7" s="4">
        <f t="shared" si="2"/>
        <v>-5634952.9849956203</v>
      </c>
      <c r="Q7" s="4">
        <f t="shared" si="2"/>
        <v>-5634952.9849956203</v>
      </c>
      <c r="R7" s="4">
        <f t="shared" si="2"/>
        <v>-5634952.9849956203</v>
      </c>
    </row>
    <row r="8" spans="1:18" x14ac:dyDescent="0.3">
      <c r="A8" s="1" t="s">
        <v>10</v>
      </c>
      <c r="B8" s="1"/>
      <c r="C8" s="3">
        <f t="shared" si="1"/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</row>
    <row r="9" spans="1:18" x14ac:dyDescent="0.3">
      <c r="A9" s="1" t="s">
        <v>11</v>
      </c>
      <c r="C9" s="4">
        <f>C7-C8</f>
        <v>-20066318.169319611</v>
      </c>
    </row>
    <row r="10" spans="1:18" s="10" customFormat="1" x14ac:dyDescent="0.3">
      <c r="A10" s="6" t="s">
        <v>34</v>
      </c>
      <c r="B10" s="11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 x14ac:dyDescent="0.3">
      <c r="A11" s="1" t="s">
        <v>38</v>
      </c>
      <c r="B11" s="1"/>
      <c r="C11" s="1"/>
      <c r="D11" s="16">
        <f>'Cost-Benefit (BASE)'!D11</f>
        <v>1.9565930029867149E-2</v>
      </c>
      <c r="E11" s="16">
        <f>'Cost-Benefit (BASE)'!E11</f>
        <v>1.9565930029867149E-2</v>
      </c>
      <c r="F11" s="16">
        <f>'Cost-Benefit (BASE)'!F11</f>
        <v>0</v>
      </c>
      <c r="G11" s="16">
        <f>'Cost-Benefit (BASE)'!G11</f>
        <v>0</v>
      </c>
      <c r="H11" s="16">
        <f>'Cost-Benefit (BASE)'!H11</f>
        <v>0</v>
      </c>
      <c r="I11" s="16">
        <f>'Cost-Benefit (BASE)'!I11</f>
        <v>4.9858744575862665E-5</v>
      </c>
      <c r="J11" s="16">
        <f>'Cost-Benefit (BASE)'!J11</f>
        <v>5.5085099351845248E-4</v>
      </c>
      <c r="K11" s="16">
        <f>'Cost-Benefit (BASE)'!K11</f>
        <v>1.25605694373247E-3</v>
      </c>
      <c r="L11" s="16">
        <f>'Cost-Benefit (BASE)'!L11</f>
        <v>2.4538227914392995E-3</v>
      </c>
      <c r="M11" s="16">
        <f>'Cost-Benefit (BASE)'!M11</f>
        <v>2.4538227914392995E-3</v>
      </c>
      <c r="N11" s="16">
        <f>'Cost-Benefit (BASE)'!N11</f>
        <v>2.4538227914392995E-3</v>
      </c>
      <c r="O11" s="16">
        <f>'Cost-Benefit (BASE)'!O11</f>
        <v>2.4538227914392995E-3</v>
      </c>
      <c r="P11" s="16">
        <f>'Cost-Benefit (BASE)'!P11</f>
        <v>2.4538227914392995E-3</v>
      </c>
      <c r="Q11" s="16">
        <f>'Cost-Benefit (BASE)'!Q11</f>
        <v>2.4538227914392995E-3</v>
      </c>
      <c r="R11" s="16">
        <f>'Cost-Benefit (BASE)'!R11</f>
        <v>2.4538227914392995E-3</v>
      </c>
    </row>
    <row r="12" spans="1:18" x14ac:dyDescent="0.3">
      <c r="A12" s="1" t="s">
        <v>0</v>
      </c>
      <c r="B12" s="1"/>
      <c r="C12" s="3">
        <f>NPV($B$2,D12:R12)</f>
        <v>1778.5294634005209</v>
      </c>
      <c r="D12" s="3">
        <f>D11*$B$1</f>
        <v>771.68028037796034</v>
      </c>
      <c r="E12" s="3">
        <f t="shared" ref="E12:R12" si="3">E11*$B$1</f>
        <v>771.68028037796034</v>
      </c>
      <c r="F12" s="3">
        <f t="shared" si="3"/>
        <v>0</v>
      </c>
      <c r="G12" s="3">
        <f t="shared" si="3"/>
        <v>0</v>
      </c>
      <c r="H12" s="3">
        <f t="shared" si="3"/>
        <v>0</v>
      </c>
      <c r="I12" s="3">
        <f t="shared" si="3"/>
        <v>1.9664288860720236</v>
      </c>
      <c r="J12" s="3">
        <f t="shared" si="3"/>
        <v>21.725563184367765</v>
      </c>
      <c r="K12" s="3">
        <f t="shared" si="3"/>
        <v>49.538885860808612</v>
      </c>
      <c r="L12" s="3">
        <f t="shared" si="3"/>
        <v>96.778770894365977</v>
      </c>
      <c r="M12" s="3">
        <f t="shared" si="3"/>
        <v>96.778770894365977</v>
      </c>
      <c r="N12" s="3">
        <f t="shared" si="3"/>
        <v>96.778770894365977</v>
      </c>
      <c r="O12" s="3">
        <f t="shared" si="3"/>
        <v>96.778770894365977</v>
      </c>
      <c r="P12" s="3">
        <f t="shared" si="3"/>
        <v>96.778770894365977</v>
      </c>
      <c r="Q12" s="3">
        <f t="shared" si="3"/>
        <v>96.778770894365977</v>
      </c>
      <c r="R12" s="3">
        <f t="shared" si="3"/>
        <v>96.778770894365977</v>
      </c>
    </row>
    <row r="13" spans="1:18" x14ac:dyDescent="0.3">
      <c r="A13" s="1" t="s">
        <v>9</v>
      </c>
      <c r="B13" s="1"/>
      <c r="C13" s="3">
        <f t="shared" ref="C13:C14" si="4">NPV($B$2,D13:R13)</f>
        <v>20064539.639856212</v>
      </c>
      <c r="D13" s="4">
        <f>D$6-D12</f>
        <v>0</v>
      </c>
      <c r="E13" s="4">
        <f t="shared" ref="E13:R13" si="5">E$6-E12</f>
        <v>0</v>
      </c>
      <c r="F13" s="4">
        <f t="shared" si="5"/>
        <v>14585.660961392347</v>
      </c>
      <c r="G13" s="4">
        <f t="shared" si="5"/>
        <v>123838.74131794563</v>
      </c>
      <c r="H13" s="4">
        <f t="shared" si="5"/>
        <v>140524.89321108896</v>
      </c>
      <c r="I13" s="4">
        <f t="shared" si="5"/>
        <v>376736.04524628108</v>
      </c>
      <c r="J13" s="4">
        <f t="shared" si="5"/>
        <v>872675.4250430821</v>
      </c>
      <c r="K13" s="4">
        <f t="shared" si="5"/>
        <v>1572883.2391331112</v>
      </c>
      <c r="L13" s="4">
        <f t="shared" si="5"/>
        <v>4105781.4449124513</v>
      </c>
      <c r="M13" s="4">
        <f t="shared" si="5"/>
        <v>5634856.2062247256</v>
      </c>
      <c r="N13" s="4">
        <f t="shared" si="5"/>
        <v>5634856.2062247256</v>
      </c>
      <c r="O13" s="4">
        <f t="shared" si="5"/>
        <v>5634856.2062247256</v>
      </c>
      <c r="P13" s="4">
        <f t="shared" si="5"/>
        <v>5634856.2062247256</v>
      </c>
      <c r="Q13" s="4">
        <f t="shared" si="5"/>
        <v>5634856.2062247256</v>
      </c>
      <c r="R13" s="4">
        <f t="shared" si="5"/>
        <v>5634856.2062247256</v>
      </c>
    </row>
    <row r="14" spans="1:18" x14ac:dyDescent="0.3">
      <c r="A14" s="1" t="s">
        <v>10</v>
      </c>
      <c r="B14" s="1"/>
      <c r="C14" s="3">
        <f t="shared" si="4"/>
        <v>9796247.7828880232</v>
      </c>
      <c r="D14" s="3">
        <f>'Option Costs'!C7*$B$3</f>
        <v>0</v>
      </c>
      <c r="E14" s="3">
        <f>'Option Costs'!D7*$B$3</f>
        <v>9622464.2499999963</v>
      </c>
      <c r="F14" s="3">
        <f>'Option Costs'!E7*$B$3</f>
        <v>147945.38784374995</v>
      </c>
      <c r="G14" s="3">
        <f>'Option Costs'!F7*$B$3</f>
        <v>151644.02253984369</v>
      </c>
      <c r="H14" s="3">
        <f>'Option Costs'!G7*$B$3</f>
        <v>155435.12310333975</v>
      </c>
      <c r="I14" s="3">
        <f>'Option Costs'!H7*$B$3</f>
        <v>159321.00118092322</v>
      </c>
      <c r="J14" s="3">
        <f>'Option Costs'!I7*$B$3</f>
        <v>163304.02621044629</v>
      </c>
      <c r="K14" s="3">
        <f>'Option Costs'!J7*$B$3</f>
        <v>167386.62686570743</v>
      </c>
      <c r="L14" s="3">
        <f>'Option Costs'!K7*$B$3</f>
        <v>171571.29253735009</v>
      </c>
      <c r="M14" s="3">
        <f>'Option Costs'!L7*$B$3</f>
        <v>175860.57485078383</v>
      </c>
      <c r="N14" s="3">
        <f>'Option Costs'!M7*$B$3</f>
        <v>180257.08922205342</v>
      </c>
      <c r="O14" s="3">
        <f>'Option Costs'!N7*$B$3</f>
        <v>184763.51645260473</v>
      </c>
      <c r="P14" s="3">
        <f>'Option Costs'!O7*$B$3</f>
        <v>189382.60436391985</v>
      </c>
      <c r="Q14" s="3">
        <f>'Option Costs'!P7*$B$3</f>
        <v>194117.16947301783</v>
      </c>
      <c r="R14" s="3">
        <f>'Option Costs'!Q7*$B$3</f>
        <v>198970.09870984324</v>
      </c>
    </row>
    <row r="15" spans="1:18" x14ac:dyDescent="0.3">
      <c r="A15" s="1" t="s">
        <v>11</v>
      </c>
      <c r="C15" s="4">
        <f>C13-C14</f>
        <v>10268291.856968189</v>
      </c>
    </row>
    <row r="16" spans="1:18" s="10" customFormat="1" x14ac:dyDescent="0.3">
      <c r="A16" s="6" t="s">
        <v>4</v>
      </c>
      <c r="B16" s="11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x14ac:dyDescent="0.3">
      <c r="A17" s="1" t="s">
        <v>38</v>
      </c>
      <c r="B17" s="1"/>
      <c r="C17" s="1"/>
      <c r="D17" s="16">
        <f>'Cost-Benefit (BASE)'!D17</f>
        <v>1.9565930029867149E-2</v>
      </c>
      <c r="E17" s="16">
        <f>'Cost-Benefit (BASE)'!E17</f>
        <v>1.9565930029867149E-2</v>
      </c>
      <c r="F17" s="16">
        <f>'Cost-Benefit (BASE)'!F17</f>
        <v>0</v>
      </c>
      <c r="G17" s="16">
        <f>'Cost-Benefit (BASE)'!G17</f>
        <v>0</v>
      </c>
      <c r="H17" s="16">
        <f>'Cost-Benefit (BASE)'!H17</f>
        <v>0</v>
      </c>
      <c r="I17" s="16">
        <f>'Cost-Benefit (BASE)'!I17</f>
        <v>0</v>
      </c>
      <c r="J17" s="16">
        <f>'Cost-Benefit (BASE)'!J17</f>
        <v>0</v>
      </c>
      <c r="K17" s="16">
        <f>'Cost-Benefit (BASE)'!K17</f>
        <v>0</v>
      </c>
      <c r="L17" s="16">
        <f>'Cost-Benefit (BASE)'!L17</f>
        <v>0</v>
      </c>
      <c r="M17" s="16">
        <f>'Cost-Benefit (BASE)'!M17</f>
        <v>0</v>
      </c>
      <c r="N17" s="16">
        <f>'Cost-Benefit (BASE)'!N17</f>
        <v>0</v>
      </c>
      <c r="O17" s="16">
        <f>'Cost-Benefit (BASE)'!O17</f>
        <v>0</v>
      </c>
      <c r="P17" s="16">
        <f>'Cost-Benefit (BASE)'!P17</f>
        <v>0</v>
      </c>
      <c r="Q17" s="16">
        <f>'Cost-Benefit (BASE)'!Q17</f>
        <v>0</v>
      </c>
      <c r="R17" s="16">
        <f>'Cost-Benefit (BASE)'!R17</f>
        <v>0</v>
      </c>
    </row>
    <row r="18" spans="1:18" x14ac:dyDescent="0.3">
      <c r="A18" s="1" t="s">
        <v>0</v>
      </c>
      <c r="B18" s="1"/>
      <c r="C18" s="3">
        <f>NPV($B$2,D18:R18)</f>
        <v>1407.4910698746469</v>
      </c>
      <c r="D18" s="3">
        <f>D17*$B$1</f>
        <v>771.68028037796034</v>
      </c>
      <c r="E18" s="3">
        <f t="shared" ref="E18:R18" si="6">E17*$B$1</f>
        <v>771.68028037796034</v>
      </c>
      <c r="F18" s="3">
        <f t="shared" si="6"/>
        <v>0</v>
      </c>
      <c r="G18" s="3">
        <f t="shared" si="6"/>
        <v>0</v>
      </c>
      <c r="H18" s="3">
        <f t="shared" si="6"/>
        <v>0</v>
      </c>
      <c r="I18" s="3">
        <f t="shared" si="6"/>
        <v>0</v>
      </c>
      <c r="J18" s="3">
        <f t="shared" si="6"/>
        <v>0</v>
      </c>
      <c r="K18" s="3">
        <f t="shared" si="6"/>
        <v>0</v>
      </c>
      <c r="L18" s="3">
        <f t="shared" si="6"/>
        <v>0</v>
      </c>
      <c r="M18" s="3">
        <f t="shared" si="6"/>
        <v>0</v>
      </c>
      <c r="N18" s="3">
        <f t="shared" si="6"/>
        <v>0</v>
      </c>
      <c r="O18" s="3">
        <f t="shared" si="6"/>
        <v>0</v>
      </c>
      <c r="P18" s="3">
        <f t="shared" si="6"/>
        <v>0</v>
      </c>
      <c r="Q18" s="3">
        <f t="shared" si="6"/>
        <v>0</v>
      </c>
      <c r="R18" s="3">
        <f t="shared" si="6"/>
        <v>0</v>
      </c>
    </row>
    <row r="19" spans="1:18" x14ac:dyDescent="0.3">
      <c r="A19" s="1" t="s">
        <v>9</v>
      </c>
      <c r="B19" s="1"/>
      <c r="C19" s="3">
        <f t="shared" ref="C19:C20" si="7">NPV($B$2,D19:R19)</f>
        <v>20064910.678249739</v>
      </c>
      <c r="D19" s="4">
        <f>D$6-D18</f>
        <v>0</v>
      </c>
      <c r="E19" s="4">
        <f t="shared" ref="E19:R19" si="8">E$6-E18</f>
        <v>0</v>
      </c>
      <c r="F19" s="4">
        <f t="shared" si="8"/>
        <v>14585.660961392347</v>
      </c>
      <c r="G19" s="4">
        <f t="shared" si="8"/>
        <v>123838.74131794563</v>
      </c>
      <c r="H19" s="4">
        <f t="shared" si="8"/>
        <v>140524.89321108896</v>
      </c>
      <c r="I19" s="4">
        <f t="shared" si="8"/>
        <v>376738.01167516713</v>
      </c>
      <c r="J19" s="4">
        <f t="shared" si="8"/>
        <v>872697.15060626646</v>
      </c>
      <c r="K19" s="4">
        <f t="shared" si="8"/>
        <v>1572932.7780189719</v>
      </c>
      <c r="L19" s="4">
        <f t="shared" si="8"/>
        <v>4105878.2236833456</v>
      </c>
      <c r="M19" s="4">
        <f t="shared" si="8"/>
        <v>5634952.9849956203</v>
      </c>
      <c r="N19" s="4">
        <f t="shared" si="8"/>
        <v>5634952.9849956203</v>
      </c>
      <c r="O19" s="4">
        <f t="shared" si="8"/>
        <v>5634952.9849956203</v>
      </c>
      <c r="P19" s="4">
        <f t="shared" si="8"/>
        <v>5634952.9849956203</v>
      </c>
      <c r="Q19" s="4">
        <f t="shared" si="8"/>
        <v>5634952.9849956203</v>
      </c>
      <c r="R19" s="4">
        <f t="shared" si="8"/>
        <v>5634952.9849956203</v>
      </c>
    </row>
    <row r="20" spans="1:18" x14ac:dyDescent="0.3">
      <c r="A20" s="1" t="s">
        <v>10</v>
      </c>
      <c r="B20" s="1"/>
      <c r="C20" s="3">
        <f t="shared" si="7"/>
        <v>11512314.05362157</v>
      </c>
      <c r="D20" s="3">
        <f>'Option Costs'!C11*$B$3</f>
        <v>0</v>
      </c>
      <c r="E20" s="3">
        <f>'Option Costs'!D11*$B$3</f>
        <v>11308086.999999996</v>
      </c>
      <c r="F20" s="3">
        <f>'Option Costs'!E11*$B$3</f>
        <v>173861.83762499993</v>
      </c>
      <c r="G20" s="3">
        <f>'Option Costs'!F11*$B$3</f>
        <v>178208.38356562488</v>
      </c>
      <c r="H20" s="3">
        <f>'Option Costs'!G11*$B$3</f>
        <v>182663.59315476549</v>
      </c>
      <c r="I20" s="3">
        <f>'Option Costs'!H11*$B$3</f>
        <v>187230.18298363462</v>
      </c>
      <c r="J20" s="3">
        <f>'Option Costs'!I11*$B$3</f>
        <v>191910.93755822544</v>
      </c>
      <c r="K20" s="3">
        <f>'Option Costs'!J11*$B$3</f>
        <v>196708.71099718107</v>
      </c>
      <c r="L20" s="3">
        <f>'Option Costs'!K11*$B$3</f>
        <v>201626.42877211055</v>
      </c>
      <c r="M20" s="3">
        <f>'Option Costs'!L11*$B$3</f>
        <v>206667.08949141332</v>
      </c>
      <c r="N20" s="3">
        <f>'Option Costs'!M11*$B$3</f>
        <v>211833.76672869863</v>
      </c>
      <c r="O20" s="3">
        <f>'Option Costs'!N11*$B$3</f>
        <v>217129.6108969161</v>
      </c>
      <c r="P20" s="3">
        <f>'Option Costs'!O11*$B$3</f>
        <v>222557.85116933897</v>
      </c>
      <c r="Q20" s="3">
        <f>'Option Costs'!P11*$B$3</f>
        <v>228122.49744857245</v>
      </c>
      <c r="R20" s="3">
        <f>'Option Costs'!Q11*$B$3</f>
        <v>233826.25314728677</v>
      </c>
    </row>
    <row r="21" spans="1:18" x14ac:dyDescent="0.3">
      <c r="A21" s="1" t="s">
        <v>11</v>
      </c>
      <c r="C21" s="4">
        <f>C19-C20</f>
        <v>8552596.6246281695</v>
      </c>
    </row>
    <row r="22" spans="1:18" s="10" customFormat="1" x14ac:dyDescent="0.3">
      <c r="A22" s="6" t="s">
        <v>5</v>
      </c>
      <c r="B22" s="11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 x14ac:dyDescent="0.3">
      <c r="A23" s="1" t="s">
        <v>38</v>
      </c>
      <c r="B23" s="1"/>
      <c r="C23" s="1"/>
      <c r="D23" s="16">
        <f>'Cost-Benefit (BASE)'!D23</f>
        <v>1.9565930029867149E-2</v>
      </c>
      <c r="E23" s="16">
        <f>'Cost-Benefit (BASE)'!E23</f>
        <v>1.9565930029867149E-2</v>
      </c>
      <c r="F23" s="16">
        <f>'Cost-Benefit (BASE)'!F23</f>
        <v>47.239070088839853</v>
      </c>
      <c r="G23" s="16">
        <f>'Cost-Benefit (BASE)'!G23</f>
        <v>37.536314923755278</v>
      </c>
      <c r="H23" s="16">
        <f>'Cost-Benefit (BASE)'!H23</f>
        <v>61.795397589740404</v>
      </c>
      <c r="I23" s="16">
        <f>'Cost-Benefit (BASE)'!I23</f>
        <v>97.404100591273604</v>
      </c>
      <c r="J23" s="16">
        <f>'Cost-Benefit (BASE)'!J23</f>
        <v>121.45638633690957</v>
      </c>
      <c r="K23" s="16">
        <f>'Cost-Benefit (BASE)'!K23</f>
        <v>211.62001839967041</v>
      </c>
      <c r="L23" s="16">
        <f>'Cost-Benefit (BASE)'!L23</f>
        <v>247.63414383263287</v>
      </c>
      <c r="M23" s="16">
        <f>'Cost-Benefit (BASE)'!M23</f>
        <v>247.63414383263287</v>
      </c>
      <c r="N23" s="16">
        <f>'Cost-Benefit (BASE)'!N23</f>
        <v>247.63414383263287</v>
      </c>
      <c r="O23" s="16">
        <f>'Cost-Benefit (BASE)'!O23</f>
        <v>247.63414383263287</v>
      </c>
      <c r="P23" s="16">
        <f>'Cost-Benefit (BASE)'!P23</f>
        <v>247.63414383263287</v>
      </c>
      <c r="Q23" s="16">
        <f>'Cost-Benefit (BASE)'!Q23</f>
        <v>247.63414383263287</v>
      </c>
      <c r="R23" s="16">
        <f>'Cost-Benefit (BASE)'!R23</f>
        <v>247.63414383263287</v>
      </c>
    </row>
    <row r="24" spans="1:18" x14ac:dyDescent="0.3">
      <c r="A24" s="1" t="s">
        <v>0</v>
      </c>
      <c r="B24" s="1"/>
      <c r="C24" s="3">
        <f>NPV($B$2,D24:R24)</f>
        <v>48183320.75266403</v>
      </c>
      <c r="D24" s="3">
        <f>D23*$B$1</f>
        <v>771.68028037796034</v>
      </c>
      <c r="E24" s="3">
        <f t="shared" ref="E24:R24" si="9">E23*$B$1</f>
        <v>771.68028037796034</v>
      </c>
      <c r="F24" s="3">
        <f t="shared" si="9"/>
        <v>1863108.9243038439</v>
      </c>
      <c r="G24" s="3">
        <f t="shared" si="9"/>
        <v>1480432.2605929081</v>
      </c>
      <c r="H24" s="3">
        <f t="shared" si="9"/>
        <v>2437210.4809393617</v>
      </c>
      <c r="I24" s="3">
        <f t="shared" si="9"/>
        <v>3841617.727319831</v>
      </c>
      <c r="J24" s="3">
        <f t="shared" si="9"/>
        <v>4790239.8771277135</v>
      </c>
      <c r="K24" s="3">
        <f t="shared" si="9"/>
        <v>8346293.5256830007</v>
      </c>
      <c r="L24" s="3">
        <f t="shared" si="9"/>
        <v>9766690.6327590402</v>
      </c>
      <c r="M24" s="3">
        <f t="shared" si="9"/>
        <v>9766690.6327590402</v>
      </c>
      <c r="N24" s="3">
        <f t="shared" si="9"/>
        <v>9766690.6327590402</v>
      </c>
      <c r="O24" s="3">
        <f t="shared" si="9"/>
        <v>9766690.6327590402</v>
      </c>
      <c r="P24" s="3">
        <f t="shared" si="9"/>
        <v>9766690.6327590402</v>
      </c>
      <c r="Q24" s="3">
        <f t="shared" si="9"/>
        <v>9766690.6327590402</v>
      </c>
      <c r="R24" s="3">
        <f t="shared" si="9"/>
        <v>9766690.6327590402</v>
      </c>
    </row>
    <row r="25" spans="1:18" x14ac:dyDescent="0.3">
      <c r="A25" s="1" t="s">
        <v>9</v>
      </c>
      <c r="B25" s="1"/>
      <c r="C25" s="3">
        <f t="shared" ref="C25:C26" si="10">NPV($B$2,D25:R25)</f>
        <v>-28117002.583344407</v>
      </c>
      <c r="D25" s="4">
        <f>D$6-D24</f>
        <v>0</v>
      </c>
      <c r="E25" s="4">
        <f t="shared" ref="E25:R25" si="11">E$6-E24</f>
        <v>0</v>
      </c>
      <c r="F25" s="4">
        <f t="shared" si="11"/>
        <v>-1848523.2633424515</v>
      </c>
      <c r="G25" s="4">
        <f t="shared" si="11"/>
        <v>-1356593.5192749626</v>
      </c>
      <c r="H25" s="4">
        <f t="shared" si="11"/>
        <v>-2296685.5877282727</v>
      </c>
      <c r="I25" s="4">
        <f t="shared" si="11"/>
        <v>-3464879.7156446641</v>
      </c>
      <c r="J25" s="4">
        <f t="shared" si="11"/>
        <v>-3917542.7265214473</v>
      </c>
      <c r="K25" s="4">
        <f t="shared" si="11"/>
        <v>-6773360.7476640288</v>
      </c>
      <c r="L25" s="4">
        <f t="shared" si="11"/>
        <v>-5660812.4090756942</v>
      </c>
      <c r="M25" s="4">
        <f t="shared" si="11"/>
        <v>-4131737.6477634199</v>
      </c>
      <c r="N25" s="4">
        <f t="shared" si="11"/>
        <v>-4131737.6477634199</v>
      </c>
      <c r="O25" s="4">
        <f t="shared" si="11"/>
        <v>-4131737.6477634199</v>
      </c>
      <c r="P25" s="4">
        <f t="shared" si="11"/>
        <v>-4131737.6477634199</v>
      </c>
      <c r="Q25" s="4">
        <f t="shared" si="11"/>
        <v>-4131737.6477634199</v>
      </c>
      <c r="R25" s="4">
        <f t="shared" si="11"/>
        <v>-4131737.6477634199</v>
      </c>
    </row>
    <row r="26" spans="1:18" x14ac:dyDescent="0.3">
      <c r="A26" s="1" t="s">
        <v>10</v>
      </c>
      <c r="B26" s="1"/>
      <c r="C26" s="3">
        <f t="shared" si="10"/>
        <v>4227271.0931049967</v>
      </c>
      <c r="D26" s="3">
        <f>'Option Costs'!C15*$B$3</f>
        <v>0</v>
      </c>
      <c r="E26" s="3">
        <f>'Option Costs'!D15*$B$3</f>
        <v>4152280.1249999986</v>
      </c>
      <c r="F26" s="3">
        <f>'Option Costs'!E15*$B$3</f>
        <v>63841.306921874966</v>
      </c>
      <c r="G26" s="3">
        <f>'Option Costs'!F15*$B$3</f>
        <v>65437.339594921832</v>
      </c>
      <c r="H26" s="3">
        <f>'Option Costs'!G15*$B$3</f>
        <v>67073.273084794884</v>
      </c>
      <c r="I26" s="3">
        <f>'Option Costs'!H15*$B$3</f>
        <v>68750.10491191475</v>
      </c>
      <c r="J26" s="3">
        <f>'Option Costs'!I15*$B$3</f>
        <v>70468.857534712603</v>
      </c>
      <c r="K26" s="3">
        <f>'Option Costs'!J15*$B$3</f>
        <v>72230.57897308041</v>
      </c>
      <c r="L26" s="3">
        <f>'Option Costs'!K15*$B$3</f>
        <v>74036.343447407417</v>
      </c>
      <c r="M26" s="3">
        <f>'Option Costs'!L15*$B$3</f>
        <v>75887.252033592595</v>
      </c>
      <c r="N26" s="3">
        <f>'Option Costs'!M15*$B$3</f>
        <v>77784.433334432411</v>
      </c>
      <c r="O26" s="3">
        <f>'Option Costs'!N15*$B$3</f>
        <v>79729.04416779321</v>
      </c>
      <c r="P26" s="3">
        <f>'Option Costs'!O15*$B$3</f>
        <v>81722.270271988033</v>
      </c>
      <c r="Q26" s="3">
        <f>'Option Costs'!P15*$B$3</f>
        <v>83765.327028787739</v>
      </c>
      <c r="R26" s="3">
        <f>'Option Costs'!Q15*$B$3</f>
        <v>85859.460204507428</v>
      </c>
    </row>
    <row r="27" spans="1:18" x14ac:dyDescent="0.3">
      <c r="A27" s="1" t="s">
        <v>11</v>
      </c>
      <c r="C27" s="4">
        <f>C25-C26</f>
        <v>-32344273.676449403</v>
      </c>
    </row>
    <row r="28" spans="1:18" s="10" customFormat="1" x14ac:dyDescent="0.3">
      <c r="A28" s="6" t="s">
        <v>6</v>
      </c>
      <c r="B28" s="11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 x14ac:dyDescent="0.3">
      <c r="A29" s="1" t="s">
        <v>38</v>
      </c>
      <c r="B29" s="1"/>
      <c r="C29" s="1"/>
      <c r="D29" s="16">
        <f>'Cost-Benefit (BASE)'!D29</f>
        <v>1.9565930029867149E-2</v>
      </c>
      <c r="E29" s="16">
        <f>'Cost-Benefit (BASE)'!E29</f>
        <v>1.9565930029867149E-2</v>
      </c>
      <c r="F29" s="16">
        <f>'Cost-Benefit (BASE)'!F29</f>
        <v>0</v>
      </c>
      <c r="G29" s="16">
        <f>'Cost-Benefit (BASE)'!G29</f>
        <v>0</v>
      </c>
      <c r="H29" s="16">
        <f>'Cost-Benefit (BASE)'!H29</f>
        <v>0</v>
      </c>
      <c r="I29" s="16">
        <f>'Cost-Benefit (BASE)'!I29</f>
        <v>0</v>
      </c>
      <c r="J29" s="16">
        <f>'Cost-Benefit (BASE)'!J29</f>
        <v>0</v>
      </c>
      <c r="K29" s="16">
        <f>'Cost-Benefit (BASE)'!K29</f>
        <v>0</v>
      </c>
      <c r="L29" s="16">
        <f>'Cost-Benefit (BASE)'!L29</f>
        <v>0</v>
      </c>
      <c r="M29" s="16">
        <f>'Cost-Benefit (BASE)'!M29</f>
        <v>0</v>
      </c>
      <c r="N29" s="16">
        <f>'Cost-Benefit (BASE)'!N29</f>
        <v>0</v>
      </c>
      <c r="O29" s="16">
        <f>'Cost-Benefit (BASE)'!O29</f>
        <v>0</v>
      </c>
      <c r="P29" s="16">
        <f>'Cost-Benefit (BASE)'!P29</f>
        <v>0</v>
      </c>
      <c r="Q29" s="16">
        <f>'Cost-Benefit (BASE)'!Q29</f>
        <v>0</v>
      </c>
      <c r="R29" s="16">
        <f>'Cost-Benefit (BASE)'!R29</f>
        <v>0</v>
      </c>
    </row>
    <row r="30" spans="1:18" x14ac:dyDescent="0.3">
      <c r="A30" s="1" t="s">
        <v>0</v>
      </c>
      <c r="B30" s="1"/>
      <c r="C30" s="3">
        <f>NPV($B$2,D30:R30)</f>
        <v>1407.4910698746469</v>
      </c>
      <c r="D30" s="3">
        <f>D29*$B$1</f>
        <v>771.68028037796034</v>
      </c>
      <c r="E30" s="3">
        <f t="shared" ref="E30:R30" si="12">E29*$B$1</f>
        <v>771.68028037796034</v>
      </c>
      <c r="F30" s="3">
        <f t="shared" si="12"/>
        <v>0</v>
      </c>
      <c r="G30" s="3">
        <f t="shared" si="12"/>
        <v>0</v>
      </c>
      <c r="H30" s="3">
        <f t="shared" si="12"/>
        <v>0</v>
      </c>
      <c r="I30" s="3">
        <f t="shared" si="12"/>
        <v>0</v>
      </c>
      <c r="J30" s="3">
        <f t="shared" si="12"/>
        <v>0</v>
      </c>
      <c r="K30" s="3">
        <f t="shared" si="12"/>
        <v>0</v>
      </c>
      <c r="L30" s="3">
        <f t="shared" si="12"/>
        <v>0</v>
      </c>
      <c r="M30" s="3">
        <f t="shared" si="12"/>
        <v>0</v>
      </c>
      <c r="N30" s="3">
        <f t="shared" si="12"/>
        <v>0</v>
      </c>
      <c r="O30" s="3">
        <f t="shared" si="12"/>
        <v>0</v>
      </c>
      <c r="P30" s="3">
        <f t="shared" si="12"/>
        <v>0</v>
      </c>
      <c r="Q30" s="3">
        <f t="shared" si="12"/>
        <v>0</v>
      </c>
      <c r="R30" s="3">
        <f t="shared" si="12"/>
        <v>0</v>
      </c>
    </row>
    <row r="31" spans="1:18" x14ac:dyDescent="0.3">
      <c r="A31" s="1" t="s">
        <v>9</v>
      </c>
      <c r="B31" s="1"/>
      <c r="C31" s="3">
        <f t="shared" ref="C31:C32" si="13">NPV($B$2,D31:R31)</f>
        <v>20064910.678249739</v>
      </c>
      <c r="D31" s="4">
        <f>D$6-D30</f>
        <v>0</v>
      </c>
      <c r="E31" s="4">
        <f t="shared" ref="E31:R31" si="14">E$6-E30</f>
        <v>0</v>
      </c>
      <c r="F31" s="4">
        <f t="shared" si="14"/>
        <v>14585.660961392347</v>
      </c>
      <c r="G31" s="4">
        <f t="shared" si="14"/>
        <v>123838.74131794563</v>
      </c>
      <c r="H31" s="4">
        <f t="shared" si="14"/>
        <v>140524.89321108896</v>
      </c>
      <c r="I31" s="4">
        <f t="shared" si="14"/>
        <v>376738.01167516713</v>
      </c>
      <c r="J31" s="4">
        <f t="shared" si="14"/>
        <v>872697.15060626646</v>
      </c>
      <c r="K31" s="4">
        <f t="shared" si="14"/>
        <v>1572932.7780189719</v>
      </c>
      <c r="L31" s="4">
        <f t="shared" si="14"/>
        <v>4105878.2236833456</v>
      </c>
      <c r="M31" s="4">
        <f t="shared" si="14"/>
        <v>5634952.9849956203</v>
      </c>
      <c r="N31" s="4">
        <f t="shared" si="14"/>
        <v>5634952.9849956203</v>
      </c>
      <c r="O31" s="4">
        <f t="shared" si="14"/>
        <v>5634952.9849956203</v>
      </c>
      <c r="P31" s="4">
        <f t="shared" si="14"/>
        <v>5634952.9849956203</v>
      </c>
      <c r="Q31" s="4">
        <f t="shared" si="14"/>
        <v>5634952.9849956203</v>
      </c>
      <c r="R31" s="4">
        <f t="shared" si="14"/>
        <v>5634952.9849956203</v>
      </c>
    </row>
    <row r="32" spans="1:18" x14ac:dyDescent="0.3">
      <c r="A32" s="1" t="s">
        <v>10</v>
      </c>
      <c r="B32" s="1"/>
      <c r="C32" s="3">
        <f t="shared" si="13"/>
        <v>7809894.5753060961</v>
      </c>
      <c r="D32" s="3">
        <f>'Option Costs'!C19*$B$3</f>
        <v>0</v>
      </c>
      <c r="E32" s="3">
        <f>'Option Costs'!D19*$B$3</f>
        <v>7671348.5624999981</v>
      </c>
      <c r="F32" s="3">
        <f>'Option Costs'!E19*$B$3</f>
        <v>117946.98414843746</v>
      </c>
      <c r="G32" s="3">
        <f>'Option Costs'!F19*$B$3</f>
        <v>120895.65875214837</v>
      </c>
      <c r="H32" s="3">
        <f>'Option Costs'!G19*$B$3</f>
        <v>123918.05022095206</v>
      </c>
      <c r="I32" s="3">
        <f>'Option Costs'!H19*$B$3</f>
        <v>127016.00147647585</v>
      </c>
      <c r="J32" s="3">
        <f>'Option Costs'!I19*$B$3</f>
        <v>130191.40151338774</v>
      </c>
      <c r="K32" s="3">
        <f>'Option Costs'!J19*$B$3</f>
        <v>133446.18655122243</v>
      </c>
      <c r="L32" s="3">
        <f>'Option Costs'!K19*$B$3</f>
        <v>136782.34121500296</v>
      </c>
      <c r="M32" s="3">
        <f>'Option Costs'!L19*$B$3</f>
        <v>140201.89974537803</v>
      </c>
      <c r="N32" s="3">
        <f>'Option Costs'!M19*$B$3</f>
        <v>143706.94723901246</v>
      </c>
      <c r="O32" s="3">
        <f>'Option Costs'!N19*$B$3</f>
        <v>147299.62091998776</v>
      </c>
      <c r="P32" s="3">
        <f>'Option Costs'!O19*$B$3</f>
        <v>150982.11144298746</v>
      </c>
      <c r="Q32" s="3">
        <f>'Option Costs'!P19*$B$3</f>
        <v>154756.66422906212</v>
      </c>
      <c r="R32" s="3">
        <f>'Option Costs'!Q19*$B$3</f>
        <v>158625.58083478868</v>
      </c>
    </row>
    <row r="33" spans="1:18" x14ac:dyDescent="0.3">
      <c r="A33" s="1" t="s">
        <v>11</v>
      </c>
      <c r="C33" s="4">
        <f>C31-C32</f>
        <v>12255016.102943644</v>
      </c>
    </row>
    <row r="34" spans="1:18" s="10" customFormat="1" x14ac:dyDescent="0.3">
      <c r="A34" s="6"/>
      <c r="B34" s="11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1:18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x14ac:dyDescent="0.3">
      <c r="A36" s="1"/>
      <c r="B36" s="1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x14ac:dyDescent="0.3">
      <c r="A37" s="1"/>
      <c r="C37" s="3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x14ac:dyDescent="0.3">
      <c r="A38" s="1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x14ac:dyDescent="0.3">
      <c r="A39" s="1"/>
      <c r="C39" s="4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zoomScale="85" zoomScaleNormal="85" workbookViewId="0">
      <pane xSplit="1" ySplit="2" topLeftCell="C3" activePane="bottomRight" state="frozen"/>
      <selection pane="topRight" activeCell="B1" sqref="B1"/>
      <selection pane="bottomLeft" activeCell="A3" sqref="A3"/>
      <selection pane="bottomRight" activeCell="D37" sqref="D37"/>
    </sheetView>
  </sheetViews>
  <sheetFormatPr defaultRowHeight="14.4" x14ac:dyDescent="0.3"/>
  <cols>
    <col min="1" max="1" width="14.33203125" style="21" bestFit="1" customWidth="1"/>
    <col min="2" max="2" width="30.33203125" bestFit="1" customWidth="1"/>
    <col min="3" max="3" width="7.44140625" bestFit="1" customWidth="1"/>
    <col min="4" max="4" width="30.33203125" bestFit="1" customWidth="1"/>
    <col min="5" max="5" width="7.44140625" bestFit="1" customWidth="1"/>
    <col min="6" max="6" width="30.33203125" bestFit="1" customWidth="1"/>
    <col min="7" max="7" width="7.44140625" bestFit="1" customWidth="1"/>
    <col min="8" max="8" width="30.33203125" bestFit="1" customWidth="1"/>
    <col min="9" max="9" width="7.44140625" bestFit="1" customWidth="1"/>
    <col min="10" max="10" width="30.33203125" bestFit="1" customWidth="1"/>
    <col min="11" max="11" width="7.44140625" bestFit="1" customWidth="1"/>
    <col min="12" max="12" width="30.33203125" bestFit="1" customWidth="1"/>
    <col min="13" max="13" width="7.44140625" bestFit="1" customWidth="1"/>
    <col min="14" max="14" width="22" customWidth="1"/>
    <col min="15" max="15" width="21.33203125" customWidth="1"/>
    <col min="16" max="16" width="15.5546875" customWidth="1"/>
  </cols>
  <sheetData>
    <row r="1" spans="1:16" s="21" customFormat="1" x14ac:dyDescent="0.3">
      <c r="A1" s="79" t="s">
        <v>13</v>
      </c>
      <c r="B1" s="27" t="s">
        <v>14</v>
      </c>
      <c r="C1" s="28" t="s">
        <v>20</v>
      </c>
      <c r="D1" s="27" t="s">
        <v>14</v>
      </c>
      <c r="E1" s="28" t="s">
        <v>20</v>
      </c>
      <c r="F1" s="27" t="s">
        <v>14</v>
      </c>
      <c r="G1" s="28" t="s">
        <v>20</v>
      </c>
      <c r="H1" s="27" t="s">
        <v>14</v>
      </c>
      <c r="I1" s="28" t="s">
        <v>20</v>
      </c>
      <c r="J1" s="27" t="s">
        <v>14</v>
      </c>
      <c r="K1" s="28" t="s">
        <v>20</v>
      </c>
      <c r="L1" s="27" t="s">
        <v>14</v>
      </c>
      <c r="M1" s="28" t="s">
        <v>20</v>
      </c>
      <c r="N1" s="84" t="s">
        <v>22</v>
      </c>
      <c r="O1" s="82" t="s">
        <v>23</v>
      </c>
      <c r="P1" s="82" t="s">
        <v>29</v>
      </c>
    </row>
    <row r="2" spans="1:16" s="21" customFormat="1" ht="38.25" customHeight="1" x14ac:dyDescent="0.3">
      <c r="A2" s="80"/>
      <c r="B2" s="81" t="s">
        <v>21</v>
      </c>
      <c r="C2" s="81"/>
      <c r="D2" s="81" t="s">
        <v>19</v>
      </c>
      <c r="E2" s="81"/>
      <c r="F2" s="81" t="s">
        <v>18</v>
      </c>
      <c r="G2" s="81"/>
      <c r="H2" s="81" t="s">
        <v>15</v>
      </c>
      <c r="I2" s="81"/>
      <c r="J2" s="81" t="s">
        <v>16</v>
      </c>
      <c r="K2" s="81"/>
      <c r="L2" s="81" t="s">
        <v>17</v>
      </c>
      <c r="M2" s="81"/>
      <c r="N2" s="85"/>
      <c r="O2" s="83"/>
      <c r="P2" s="83"/>
    </row>
    <row r="3" spans="1:16" x14ac:dyDescent="0.3">
      <c r="A3" s="54" t="str">
        <f>'Cost-Benefit (BASE)'!A10</f>
        <v>Option 1</v>
      </c>
      <c r="B3" s="25">
        <f>'Cost-Benefit (BASE)'!$C$15</f>
        <v>6068492.4589463025</v>
      </c>
      <c r="C3" s="12">
        <f>_xlfn.RANK.EQ(B3,B$3:B$7)</f>
        <v>2</v>
      </c>
      <c r="D3" s="22">
        <f>'Cost-Benefit (VCR+20%)'!$C$15</f>
        <v>10082807.877987422</v>
      </c>
      <c r="E3" s="12">
        <f>_xlfn.RANK.EQ(D3,D$3:D$7)</f>
        <v>2</v>
      </c>
      <c r="F3" s="22">
        <f>'Cost-Benefit (VCR-20%)'!C15</f>
        <v>2056992.0220449343</v>
      </c>
      <c r="G3" s="12">
        <f>_xlfn.RANK.EQ(F3,F$3:F$7)</f>
        <v>2</v>
      </c>
      <c r="H3" s="22">
        <f>'Cost-Benefit (Disc rate high)'!C15</f>
        <v>3105129.5513678845</v>
      </c>
      <c r="I3" s="12">
        <f>_xlfn.RANK.EQ(H3,H$3:H$7)</f>
        <v>2</v>
      </c>
      <c r="J3" s="22">
        <f>'Cost-Benefit (cost+30%)'!C15</f>
        <v>1871508.0430641659</v>
      </c>
      <c r="K3" s="12">
        <f>_xlfn.RANK.EQ(J3,J$3:J$7)</f>
        <v>2</v>
      </c>
      <c r="L3" s="22">
        <f>'Cost-Benefit (cost-30%)'!C15</f>
        <v>10268291.856968189</v>
      </c>
      <c r="M3" s="12">
        <f>_xlfn.RANK.EQ(L3,L$3:L$7)</f>
        <v>2</v>
      </c>
      <c r="N3" s="25">
        <f>IF(P3="yes",AVERAGE(B3,D3,F3,H3,J3,L3),"not ranked")</f>
        <v>5575536.9683964839</v>
      </c>
      <c r="O3" s="12">
        <f>_xlfn.RANK.EQ(N3,N$3:N$7)</f>
        <v>2</v>
      </c>
      <c r="P3" s="56" t="s">
        <v>28</v>
      </c>
    </row>
    <row r="4" spans="1:16" x14ac:dyDescent="0.3">
      <c r="A4" s="54" t="str">
        <f>'Cost-Benefit (BASE)'!A16</f>
        <v>Option 2</v>
      </c>
      <c r="B4" s="65">
        <f>'Cost-Benefit (BASE)'!$C$21</f>
        <v>3617340.2534347549</v>
      </c>
      <c r="C4" s="66">
        <f>_xlfn.RANK.EQ(B4,B$3:B$7)</f>
        <v>3</v>
      </c>
      <c r="D4" s="67">
        <f>'Cost-Benefit (VCR+20%)'!$C$21</f>
        <v>7631729.8801545799</v>
      </c>
      <c r="E4" s="66">
        <f>_xlfn.RANK.EQ(D4,D$3:D$7)</f>
        <v>3</v>
      </c>
      <c r="F4" s="67">
        <f>'Cost-Benefit (VCR-20%)'!C21</f>
        <v>-394234.39114532247</v>
      </c>
      <c r="G4" s="66">
        <f>_xlfn.RANK.EQ(F4,F$3:F$7)</f>
        <v>3</v>
      </c>
      <c r="H4" s="67">
        <f>'Cost-Benefit (Disc rate high)'!C21</f>
        <v>771840.0925234966</v>
      </c>
      <c r="I4" s="66">
        <f>_xlfn.RANK.EQ(H4,H$3:H$7)</f>
        <v>3</v>
      </c>
      <c r="J4" s="67">
        <f>'Cost-Benefit (cost+30%)'!C21</f>
        <v>-1315101.1356188953</v>
      </c>
      <c r="K4" s="66">
        <f>_xlfn.RANK.EQ(J4,J$3:J$7)</f>
        <v>3</v>
      </c>
      <c r="L4" s="67">
        <f>'Cost-Benefit (cost-30%)'!C21</f>
        <v>8552596.6246281695</v>
      </c>
      <c r="M4" s="66">
        <f>_xlfn.RANK.EQ(L4,L$3:L$7)</f>
        <v>3</v>
      </c>
      <c r="N4" s="65">
        <f>IF(P4="yes",AVERAGE(B4,D4,F4,H4,J4,L4),"not ranked")</f>
        <v>3144028.5539961308</v>
      </c>
      <c r="O4" s="66">
        <f>_xlfn.RANK.EQ(N4,N$3:N$7)</f>
        <v>3</v>
      </c>
      <c r="P4" s="56" t="s">
        <v>28</v>
      </c>
    </row>
    <row r="5" spans="1:16" x14ac:dyDescent="0.3">
      <c r="A5" s="54" t="str">
        <f>'Cost-Benefit (BASE)'!A22</f>
        <v>Option 3</v>
      </c>
      <c r="B5" s="25">
        <f>'Cost-Benefit (BASE)'!$C$27</f>
        <v>-34157368.778849989</v>
      </c>
      <c r="C5" s="12">
        <f>_xlfn.RANK.EQ(B5,B$3:B$7)</f>
        <v>4</v>
      </c>
      <c r="D5" s="22">
        <f>'Cost-Benefit (VCR+20%)'!$C$27</f>
        <v>-39779361.804449007</v>
      </c>
      <c r="E5" s="12">
        <f>_xlfn.RANK.EQ(D5,D$3:D$7)</f>
        <v>4</v>
      </c>
      <c r="F5" s="22">
        <f>'Cost-Benefit (VCR-20%)'!C27</f>
        <v>-28532560.771111239</v>
      </c>
      <c r="G5" s="12">
        <f>_xlfn.RANK.EQ(F5,F$3:F$7)</f>
        <v>4</v>
      </c>
      <c r="H5" s="22">
        <f>'Cost-Benefit (Disc rate high)'!C27</f>
        <v>-29775283.642055109</v>
      </c>
      <c r="I5" s="12">
        <f>_xlfn.RANK.EQ(H5,H$3:H$7)</f>
        <v>4</v>
      </c>
      <c r="J5" s="22">
        <f>'Cost-Benefit (cost+30%)'!C27</f>
        <v>-35967648.899110831</v>
      </c>
      <c r="K5" s="12">
        <f>_xlfn.RANK.EQ(J5,J$3:J$7)</f>
        <v>4</v>
      </c>
      <c r="L5" s="22">
        <f>'Cost-Benefit (cost-30%)'!C27</f>
        <v>-32344273.676449403</v>
      </c>
      <c r="M5" s="12">
        <f>_xlfn.RANK.EQ(L5,L$3:L$7)</f>
        <v>4</v>
      </c>
      <c r="N5" s="25">
        <f>IF(P5="yes",AVERAGE(B5,D5,F5,H5,J5,L5),"not ranked")</f>
        <v>-33426082.928670932</v>
      </c>
      <c r="O5" s="12">
        <f>_xlfn.RANK.EQ(N5,N$3:N$7)</f>
        <v>4</v>
      </c>
      <c r="P5" s="56" t="s">
        <v>28</v>
      </c>
    </row>
    <row r="6" spans="1:16" x14ac:dyDescent="0.3">
      <c r="A6" s="54" t="str">
        <f>'Cost-Benefit (BASE)'!A28</f>
        <v>Option 4</v>
      </c>
      <c r="B6" s="25">
        <f>'Cost-Benefit (BASE)'!$C$33</f>
        <v>8906510.9367425814</v>
      </c>
      <c r="C6" s="12">
        <f>_xlfn.RANK.EQ(B6,B$3:B$7)</f>
        <v>1</v>
      </c>
      <c r="D6" s="22">
        <f>'Cost-Benefit (VCR+20%)'!$C$33</f>
        <v>12920900.563462406</v>
      </c>
      <c r="E6" s="12">
        <f>_xlfn.RANK.EQ(D6,D$3:D$7)</f>
        <v>1</v>
      </c>
      <c r="F6" s="22">
        <f>'Cost-Benefit (VCR-20%)'!C33</f>
        <v>4894936.292162504</v>
      </c>
      <c r="G6" s="12">
        <f>_xlfn.RANK.EQ(F6,F$3:F$7)</f>
        <v>1</v>
      </c>
      <c r="H6" s="22">
        <f>'Cost-Benefit (Disc rate high)'!C33</f>
        <v>5806578.4075208846</v>
      </c>
      <c r="I6" s="12">
        <f>_xlfn.RANK.EQ(H6,H$3:H$7)</f>
        <v>1</v>
      </c>
      <c r="J6" s="22">
        <f>'Cost-Benefit (cost+30%)'!C33</f>
        <v>5560820.7526812702</v>
      </c>
      <c r="K6" s="12">
        <f>_xlfn.RANK.EQ(J6,J$3:J$7)</f>
        <v>1</v>
      </c>
      <c r="L6" s="22">
        <f>'Cost-Benefit (cost-30%)'!C33</f>
        <v>12255016.102943644</v>
      </c>
      <c r="M6" s="12">
        <f>_xlfn.RANK.EQ(L6,L$3:L$7)</f>
        <v>1</v>
      </c>
      <c r="N6" s="25">
        <f>IF(P6="yes",AVERAGE(B6,D6,F6,H6,J6,L6),"not ranked")</f>
        <v>8390793.8425855488</v>
      </c>
      <c r="O6" s="12">
        <f>_xlfn.RANK.EQ(N6,N$3:N$7)</f>
        <v>1</v>
      </c>
      <c r="P6" s="56" t="s">
        <v>28</v>
      </c>
    </row>
    <row r="7" spans="1:16" x14ac:dyDescent="0.3">
      <c r="A7" s="55"/>
      <c r="B7" s="26"/>
      <c r="C7" s="24"/>
      <c r="D7" s="23"/>
      <c r="E7" s="24"/>
      <c r="F7" s="23"/>
      <c r="G7" s="24"/>
      <c r="H7" s="23"/>
      <c r="I7" s="24"/>
      <c r="J7" s="23"/>
      <c r="K7" s="24"/>
      <c r="L7" s="23"/>
      <c r="M7" s="24"/>
      <c r="N7" s="26"/>
      <c r="O7" s="24"/>
      <c r="P7" s="57"/>
    </row>
  </sheetData>
  <mergeCells count="10">
    <mergeCell ref="P1:P2"/>
    <mergeCell ref="J2:K2"/>
    <mergeCell ref="L2:M2"/>
    <mergeCell ref="O1:O2"/>
    <mergeCell ref="N1:N2"/>
    <mergeCell ref="A1:A2"/>
    <mergeCell ref="B2:C2"/>
    <mergeCell ref="D2:E2"/>
    <mergeCell ref="F2:G2"/>
    <mergeCell ref="H2:I2"/>
  </mergeCells>
  <conditionalFormatting sqref="N3:N7">
    <cfRule type="containsText" dxfId="0" priority="1" operator="containsText" text="not ranked">
      <formula>NOT(ISERROR(SEARCH("not ranked",N3)))</formula>
    </cfRule>
  </conditionalFormatting>
  <pageMargins left="0.7" right="0.7" top="0.75" bottom="0.75" header="0.3" footer="0.3"/>
  <pageSetup paperSize="9" orientation="portrait" horizontalDpi="300" verticalDpi="300" r:id="rId1"/>
  <ignoredErrors>
    <ignoredError sqref="D3:D4 D5:D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zoomScaleNormal="100" workbookViewId="0">
      <selection activeCell="F18" sqref="F18"/>
    </sheetView>
  </sheetViews>
  <sheetFormatPr defaultRowHeight="14.4" x14ac:dyDescent="0.3"/>
  <cols>
    <col min="1" max="1" width="43.33203125" customWidth="1"/>
    <col min="2" max="2" width="11.33203125" customWidth="1"/>
    <col min="3" max="3" width="15.33203125" customWidth="1"/>
    <col min="4" max="4" width="14.44140625" bestFit="1" customWidth="1"/>
    <col min="5" max="5" width="17.109375" bestFit="1" customWidth="1"/>
    <col min="6" max="6" width="17.44140625" bestFit="1" customWidth="1"/>
    <col min="7" max="7" width="17.109375" bestFit="1" customWidth="1"/>
    <col min="8" max="11" width="15.33203125" bestFit="1" customWidth="1"/>
    <col min="12" max="17" width="15.6640625" bestFit="1" customWidth="1"/>
    <col min="18" max="18" width="18.5546875" bestFit="1" customWidth="1"/>
    <col min="19" max="59" width="9.109375" customWidth="1"/>
  </cols>
  <sheetData>
    <row r="1" spans="1:16" x14ac:dyDescent="0.3">
      <c r="A1" t="s">
        <v>3</v>
      </c>
      <c r="B1" s="5">
        <f>'Cost-Benefit (BASE)'!B2</f>
        <v>6.3700000000000007E-2</v>
      </c>
    </row>
    <row r="2" spans="1:16" x14ac:dyDescent="0.3">
      <c r="A2" t="s">
        <v>50</v>
      </c>
      <c r="B2" s="68">
        <f>NPV(B1,'Option Costs'!C15:Q15)</f>
        <v>6038958.7044357089</v>
      </c>
    </row>
    <row r="4" spans="1:16" x14ac:dyDescent="0.3">
      <c r="A4" t="s">
        <v>7</v>
      </c>
      <c r="B4" s="75">
        <v>2018</v>
      </c>
      <c r="C4" s="75">
        <v>2019</v>
      </c>
      <c r="D4" s="75">
        <v>2020</v>
      </c>
      <c r="E4" s="75">
        <v>2021</v>
      </c>
      <c r="F4" s="75">
        <v>2022</v>
      </c>
      <c r="G4" s="75">
        <v>2023</v>
      </c>
      <c r="H4" s="75">
        <v>2024</v>
      </c>
      <c r="I4" s="75">
        <v>2025</v>
      </c>
      <c r="J4" s="75">
        <v>2026</v>
      </c>
      <c r="K4" s="75">
        <v>2027</v>
      </c>
      <c r="L4" s="75">
        <v>2028</v>
      </c>
      <c r="M4" s="75">
        <v>2029</v>
      </c>
      <c r="N4" s="75">
        <v>2030</v>
      </c>
      <c r="O4" s="75">
        <v>2031</v>
      </c>
      <c r="P4" s="75">
        <v>2032</v>
      </c>
    </row>
    <row r="5" spans="1:16" x14ac:dyDescent="0.3">
      <c r="A5" t="s">
        <v>46</v>
      </c>
      <c r="B5" s="29">
        <f>'Cost-Benefit (BASE)'!D6</f>
        <v>771.68028037796034</v>
      </c>
      <c r="C5" s="29">
        <f>'Cost-Benefit (BASE)'!E6</f>
        <v>771.68028037796034</v>
      </c>
      <c r="D5" s="29">
        <f>'Cost-Benefit (BASE)'!F6</f>
        <v>14585.660961392347</v>
      </c>
      <c r="E5" s="29">
        <f>'Cost-Benefit (BASE)'!G6</f>
        <v>123838.74131794563</v>
      </c>
      <c r="F5" s="29">
        <f>'Cost-Benefit (BASE)'!H6</f>
        <v>140524.89321108896</v>
      </c>
      <c r="G5" s="29">
        <f>'Cost-Benefit (BASE)'!I6</f>
        <v>376738.01167516713</v>
      </c>
      <c r="H5" s="29">
        <f>'Cost-Benefit (BASE)'!J6</f>
        <v>872697.15060626646</v>
      </c>
      <c r="I5" s="29">
        <f>'Cost-Benefit (BASE)'!K6</f>
        <v>1572932.7780189719</v>
      </c>
      <c r="J5" s="29">
        <f>'Cost-Benefit (BASE)'!L6</f>
        <v>4105878.2236833456</v>
      </c>
      <c r="K5" s="29">
        <f>'Cost-Benefit (BASE)'!M6</f>
        <v>5634952.9849956203</v>
      </c>
      <c r="L5" s="29">
        <f>'Cost-Benefit (BASE)'!N6</f>
        <v>5634952.9849956203</v>
      </c>
      <c r="M5" s="29">
        <f>'Cost-Benefit (BASE)'!O6</f>
        <v>5634952.9849956203</v>
      </c>
      <c r="N5" s="29">
        <f>'Cost-Benefit (BASE)'!P6</f>
        <v>5634952.9849956203</v>
      </c>
      <c r="O5" s="29">
        <f>'Cost-Benefit (BASE)'!Q6</f>
        <v>5634952.9849956203</v>
      </c>
      <c r="P5" s="29">
        <f>'Cost-Benefit (BASE)'!R6</f>
        <v>5634952.9849956203</v>
      </c>
    </row>
    <row r="6" spans="1:16" ht="28.8" x14ac:dyDescent="0.3">
      <c r="A6" s="1" t="s">
        <v>47</v>
      </c>
      <c r="B6" s="74">
        <f>0-B5</f>
        <v>-771.68028037796034</v>
      </c>
      <c r="C6" s="74">
        <f>0-C5</f>
        <v>-771.68028037796034</v>
      </c>
      <c r="D6" s="73">
        <f t="shared" ref="D6:P6" si="0">D5</f>
        <v>14585.660961392347</v>
      </c>
      <c r="E6" s="73">
        <f t="shared" si="0"/>
        <v>123838.74131794563</v>
      </c>
      <c r="F6" s="73">
        <f t="shared" si="0"/>
        <v>140524.89321108896</v>
      </c>
      <c r="G6" s="73">
        <f t="shared" si="0"/>
        <v>376738.01167516713</v>
      </c>
      <c r="H6" s="73">
        <f t="shared" si="0"/>
        <v>872697.15060626646</v>
      </c>
      <c r="I6" s="73">
        <f t="shared" si="0"/>
        <v>1572932.7780189719</v>
      </c>
      <c r="J6" s="73">
        <f t="shared" si="0"/>
        <v>4105878.2236833456</v>
      </c>
      <c r="K6" s="73">
        <f t="shared" si="0"/>
        <v>5634952.9849956203</v>
      </c>
      <c r="L6" s="73">
        <f t="shared" si="0"/>
        <v>5634952.9849956203</v>
      </c>
      <c r="M6" s="73">
        <f t="shared" si="0"/>
        <v>5634952.9849956203</v>
      </c>
      <c r="N6" s="73">
        <f t="shared" si="0"/>
        <v>5634952.9849956203</v>
      </c>
      <c r="O6" s="73">
        <f t="shared" si="0"/>
        <v>5634952.9849956203</v>
      </c>
      <c r="P6" s="73">
        <f t="shared" si="0"/>
        <v>5634952.9849956203</v>
      </c>
    </row>
    <row r="7" spans="1:16" ht="28.8" x14ac:dyDescent="0.3">
      <c r="A7" s="1" t="s">
        <v>51</v>
      </c>
      <c r="B7" s="76">
        <f>B6/1000000</f>
        <v>-7.7168028037796039E-4</v>
      </c>
      <c r="C7" s="76">
        <f t="shared" ref="C7:P7" si="1">C6/1000000</f>
        <v>-7.7168028037796039E-4</v>
      </c>
      <c r="D7" s="76">
        <f t="shared" si="1"/>
        <v>1.4585660961392346E-2</v>
      </c>
      <c r="E7" s="76">
        <f t="shared" si="1"/>
        <v>0.12383874131794563</v>
      </c>
      <c r="F7" s="76">
        <f t="shared" si="1"/>
        <v>0.14052489321108896</v>
      </c>
      <c r="G7" s="76">
        <f t="shared" si="1"/>
        <v>0.37673801167516713</v>
      </c>
      <c r="H7" s="76">
        <f t="shared" si="1"/>
        <v>0.8726971506062664</v>
      </c>
      <c r="I7" s="76">
        <f t="shared" si="1"/>
        <v>1.5729327780189719</v>
      </c>
      <c r="J7" s="76">
        <f t="shared" si="1"/>
        <v>4.1058782236833453</v>
      </c>
      <c r="K7" s="76">
        <f t="shared" si="1"/>
        <v>5.6349529849956204</v>
      </c>
      <c r="L7" s="76">
        <f t="shared" si="1"/>
        <v>5.6349529849956204</v>
      </c>
      <c r="M7" s="76">
        <f t="shared" si="1"/>
        <v>5.6349529849956204</v>
      </c>
      <c r="N7" s="76">
        <f t="shared" si="1"/>
        <v>5.6349529849956204</v>
      </c>
      <c r="O7" s="76">
        <f t="shared" si="1"/>
        <v>5.6349529849956204</v>
      </c>
      <c r="P7" s="76">
        <f t="shared" si="1"/>
        <v>5.6349529849956204</v>
      </c>
    </row>
    <row r="8" spans="1:16" x14ac:dyDescent="0.3">
      <c r="A8" s="9" t="s">
        <v>48</v>
      </c>
      <c r="B8" s="30">
        <f>-PMT($B$1,50,$B$2)</f>
        <v>403064.68644102244</v>
      </c>
      <c r="C8" s="30">
        <f>-PMT($B$1,50,$B$2)</f>
        <v>403064.68644102244</v>
      </c>
      <c r="D8" s="30">
        <f>-PMT($B$1,50,$B$2)</f>
        <v>403064.68644102244</v>
      </c>
      <c r="E8" s="30">
        <f t="shared" ref="E8:P8" si="2">-PMT(0.0637,50,$B$2)</f>
        <v>403064.68644102244</v>
      </c>
      <c r="F8" s="30">
        <f t="shared" si="2"/>
        <v>403064.68644102244</v>
      </c>
      <c r="G8" s="30">
        <f t="shared" si="2"/>
        <v>403064.68644102244</v>
      </c>
      <c r="H8" s="30">
        <f t="shared" si="2"/>
        <v>403064.68644102244</v>
      </c>
      <c r="I8" s="30">
        <f t="shared" si="2"/>
        <v>403064.68644102244</v>
      </c>
      <c r="J8" s="30">
        <f t="shared" si="2"/>
        <v>403064.68644102244</v>
      </c>
      <c r="K8" s="30">
        <f t="shared" si="2"/>
        <v>403064.68644102244</v>
      </c>
      <c r="L8" s="30">
        <f t="shared" si="2"/>
        <v>403064.68644102244</v>
      </c>
      <c r="M8" s="30">
        <f t="shared" si="2"/>
        <v>403064.68644102244</v>
      </c>
      <c r="N8" s="30">
        <f t="shared" si="2"/>
        <v>403064.68644102244</v>
      </c>
      <c r="O8" s="30">
        <f t="shared" si="2"/>
        <v>403064.68644102244</v>
      </c>
      <c r="P8" s="31">
        <f t="shared" si="2"/>
        <v>403064.68644102244</v>
      </c>
    </row>
    <row r="9" spans="1:16" x14ac:dyDescent="0.3">
      <c r="A9" s="9" t="s">
        <v>49</v>
      </c>
      <c r="B9" s="77">
        <f>B8/1000000</f>
        <v>0.40306468644102245</v>
      </c>
      <c r="C9" s="77">
        <f t="shared" ref="C9:P9" si="3">C8/1000000</f>
        <v>0.40306468644102245</v>
      </c>
      <c r="D9" s="77">
        <f t="shared" si="3"/>
        <v>0.40306468644102245</v>
      </c>
      <c r="E9" s="77">
        <f t="shared" si="3"/>
        <v>0.40306468644102245</v>
      </c>
      <c r="F9" s="77">
        <f t="shared" si="3"/>
        <v>0.40306468644102245</v>
      </c>
      <c r="G9" s="77">
        <f t="shared" si="3"/>
        <v>0.40306468644102245</v>
      </c>
      <c r="H9" s="77">
        <f t="shared" si="3"/>
        <v>0.40306468644102245</v>
      </c>
      <c r="I9" s="77">
        <f t="shared" si="3"/>
        <v>0.40306468644102245</v>
      </c>
      <c r="J9" s="77">
        <f t="shared" si="3"/>
        <v>0.40306468644102245</v>
      </c>
      <c r="K9" s="77">
        <f t="shared" si="3"/>
        <v>0.40306468644102245</v>
      </c>
      <c r="L9" s="77">
        <f t="shared" si="3"/>
        <v>0.40306468644102245</v>
      </c>
      <c r="M9" s="77">
        <f t="shared" si="3"/>
        <v>0.40306468644102245</v>
      </c>
      <c r="N9" s="77">
        <f t="shared" si="3"/>
        <v>0.40306468644102245</v>
      </c>
      <c r="O9" s="77">
        <f t="shared" si="3"/>
        <v>0.40306468644102245</v>
      </c>
      <c r="P9" s="78">
        <f t="shared" si="3"/>
        <v>0.40306468644102245</v>
      </c>
    </row>
    <row r="10" spans="1:16" x14ac:dyDescent="0.3">
      <c r="A10" s="15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16" x14ac:dyDescent="0.3">
      <c r="A11" s="15" t="s">
        <v>52</v>
      </c>
      <c r="B11">
        <v>-1.7073465780834303E-2</v>
      </c>
      <c r="C11">
        <v>-0.25237404680571446</v>
      </c>
      <c r="D11">
        <v>1.1377040495223454</v>
      </c>
      <c r="E11">
        <v>2.0953756437181061</v>
      </c>
      <c r="F11">
        <v>5.050069149216065</v>
      </c>
      <c r="G11">
        <v>11.707955904245511</v>
      </c>
      <c r="H11">
        <v>20.226706779029925</v>
      </c>
      <c r="I11">
        <v>38.55575276769644</v>
      </c>
      <c r="J11">
        <v>63.956927678132921</v>
      </c>
      <c r="K11">
        <v>63.956927678132921</v>
      </c>
      <c r="L11">
        <v>63.956927678132921</v>
      </c>
      <c r="M11">
        <v>63.956927678132921</v>
      </c>
      <c r="N11">
        <v>63.956927678132921</v>
      </c>
      <c r="O11">
        <v>63.956927678132921</v>
      </c>
      <c r="P11">
        <v>63.956927678132921</v>
      </c>
    </row>
    <row r="12" spans="1:16" x14ac:dyDescent="0.3">
      <c r="A12" s="15" t="s">
        <v>53</v>
      </c>
      <c r="B12">
        <v>-0.30024527462176076</v>
      </c>
      <c r="C12">
        <v>-2.4145805917877823</v>
      </c>
      <c r="D12">
        <v>10.509330984639179</v>
      </c>
      <c r="E12">
        <v>21.635078328279779</v>
      </c>
      <c r="F12">
        <v>26.086640486021142</v>
      </c>
      <c r="G12">
        <v>33.786780401333644</v>
      </c>
      <c r="H12">
        <v>38.633973808793648</v>
      </c>
      <c r="I12">
        <v>52.442966177926273</v>
      </c>
      <c r="J12">
        <v>63.956927678132921</v>
      </c>
      <c r="K12">
        <v>63.956927678132921</v>
      </c>
      <c r="L12">
        <v>63.956927678132921</v>
      </c>
      <c r="M12">
        <v>63.956927678132921</v>
      </c>
      <c r="N12">
        <v>63.956927678132921</v>
      </c>
      <c r="O12">
        <v>63.956927678132921</v>
      </c>
      <c r="P12">
        <v>63.956927678132921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Normal="100" workbookViewId="0">
      <pane xSplit="1" ySplit="6" topLeftCell="B22" activePane="bottomRight" state="frozen"/>
      <selection pane="topRight" activeCell="B1" sqref="B1"/>
      <selection pane="bottomLeft" activeCell="A6" sqref="A6"/>
      <selection pane="bottomRight" activeCell="D40" sqref="D40"/>
    </sheetView>
  </sheetViews>
  <sheetFormatPr defaultColWidth="9.109375" defaultRowHeight="14.4" x14ac:dyDescent="0.3"/>
  <cols>
    <col min="1" max="1" width="54.6640625" bestFit="1" customWidth="1"/>
    <col min="2" max="2" width="24.88671875" style="34" customWidth="1"/>
    <col min="3" max="3" width="21.109375" style="34" customWidth="1"/>
    <col min="4" max="5" width="17.44140625" style="34" bestFit="1" customWidth="1"/>
    <col min="6" max="6" width="18.5546875" style="34" bestFit="1" customWidth="1"/>
    <col min="7" max="7" width="17.109375" style="34" bestFit="1" customWidth="1"/>
    <col min="8" max="8" width="14.5546875" style="34" bestFit="1" customWidth="1"/>
    <col min="9" max="9" width="17.44140625" style="34" bestFit="1" customWidth="1"/>
    <col min="10" max="10" width="15" style="34" bestFit="1" customWidth="1"/>
    <col min="11" max="11" width="16.6640625" style="34" bestFit="1" customWidth="1"/>
    <col min="12" max="12" width="17.109375" style="34" bestFit="1" customWidth="1"/>
    <col min="13" max="14" width="16.6640625" style="34" bestFit="1" customWidth="1"/>
    <col min="15" max="15" width="16" style="34" bestFit="1" customWidth="1"/>
    <col min="16" max="16" width="16.6640625" style="34" bestFit="1" customWidth="1"/>
    <col min="17" max="17" width="17.109375" style="34" bestFit="1" customWidth="1"/>
    <col min="18" max="18" width="18.88671875" style="34" bestFit="1" customWidth="1"/>
    <col min="19" max="19" width="9.109375" style="9"/>
    <col min="20" max="21" width="9.88671875" style="9" bestFit="1" customWidth="1"/>
    <col min="22" max="31" width="10.6640625" style="9" bestFit="1" customWidth="1"/>
    <col min="32" max="16384" width="9.109375" style="9"/>
  </cols>
  <sheetData>
    <row r="1" spans="1:18" x14ac:dyDescent="0.3">
      <c r="A1" s="1" t="s">
        <v>7</v>
      </c>
      <c r="B1" s="32"/>
      <c r="C1" s="32">
        <v>2018</v>
      </c>
      <c r="D1" s="32">
        <v>2019</v>
      </c>
      <c r="E1" s="32">
        <v>2020</v>
      </c>
      <c r="F1" s="32">
        <v>2021</v>
      </c>
      <c r="G1" s="32">
        <v>2022</v>
      </c>
      <c r="H1" s="32">
        <v>2023</v>
      </c>
      <c r="I1" s="32">
        <v>2024</v>
      </c>
      <c r="J1" s="32">
        <v>2025</v>
      </c>
      <c r="K1" s="32">
        <v>2026</v>
      </c>
      <c r="L1" s="32">
        <v>2027</v>
      </c>
      <c r="M1" s="32">
        <v>2028</v>
      </c>
      <c r="N1" s="32">
        <v>2029</v>
      </c>
      <c r="O1" s="32">
        <v>2030</v>
      </c>
      <c r="P1" s="32">
        <v>2031</v>
      </c>
      <c r="Q1" s="32">
        <v>2032</v>
      </c>
      <c r="R1" s="32"/>
    </row>
    <row r="2" spans="1:18" x14ac:dyDescent="0.3">
      <c r="A2" s="9" t="s">
        <v>3</v>
      </c>
      <c r="B2" s="33">
        <v>6.3700000000000007E-2</v>
      </c>
      <c r="C2" s="19"/>
    </row>
    <row r="3" spans="1:18" x14ac:dyDescent="0.3">
      <c r="A3" s="9" t="s">
        <v>24</v>
      </c>
      <c r="B3" s="33">
        <v>2.5000000000000001E-2</v>
      </c>
      <c r="C3" s="19"/>
    </row>
    <row r="4" spans="1:18" x14ac:dyDescent="0.3">
      <c r="A4" s="9" t="s">
        <v>33</v>
      </c>
      <c r="B4" s="33">
        <v>1.4999999999999999E-2</v>
      </c>
      <c r="C4" s="19"/>
    </row>
    <row r="5" spans="1:18" x14ac:dyDescent="0.3">
      <c r="B5" s="69"/>
      <c r="C5" s="69"/>
    </row>
    <row r="6" spans="1:18" x14ac:dyDescent="0.3">
      <c r="P6" s="9"/>
      <c r="Q6" s="9"/>
      <c r="R6" s="9"/>
    </row>
    <row r="7" spans="1:18" s="10" customFormat="1" x14ac:dyDescent="0.3">
      <c r="A7" s="6" t="s">
        <v>34</v>
      </c>
      <c r="B7" s="36"/>
      <c r="C7" s="36">
        <f>C8+C9</f>
        <v>0</v>
      </c>
      <c r="D7" s="36">
        <f>D8+D9</f>
        <v>13746377.499999996</v>
      </c>
      <c r="E7" s="36">
        <f t="shared" ref="E7:O7" si="0">E8+E9</f>
        <v>211350.55406249993</v>
      </c>
      <c r="F7" s="36">
        <f t="shared" si="0"/>
        <v>216634.31791406241</v>
      </c>
      <c r="G7" s="36">
        <f t="shared" si="0"/>
        <v>222050.17586191394</v>
      </c>
      <c r="H7" s="36">
        <f t="shared" si="0"/>
        <v>227601.43025846177</v>
      </c>
      <c r="I7" s="36">
        <f t="shared" si="0"/>
        <v>233291.4660149233</v>
      </c>
      <c r="J7" s="36">
        <f t="shared" si="0"/>
        <v>239123.75266529634</v>
      </c>
      <c r="K7" s="36">
        <f t="shared" si="0"/>
        <v>245101.84648192872</v>
      </c>
      <c r="L7" s="36">
        <f t="shared" si="0"/>
        <v>251229.39264397693</v>
      </c>
      <c r="M7" s="36">
        <f t="shared" si="0"/>
        <v>257510.12746007633</v>
      </c>
      <c r="N7" s="36">
        <f t="shared" si="0"/>
        <v>263947.88064657821</v>
      </c>
      <c r="O7" s="36">
        <f t="shared" si="0"/>
        <v>270546.57766274264</v>
      </c>
      <c r="P7" s="36">
        <f t="shared" ref="P7:Q7" si="1">P8+P9</f>
        <v>277310.24210431118</v>
      </c>
      <c r="Q7" s="36">
        <f t="shared" si="1"/>
        <v>284242.99815691891</v>
      </c>
    </row>
    <row r="8" spans="1:18" x14ac:dyDescent="0.3">
      <c r="A8" s="1" t="s">
        <v>1</v>
      </c>
      <c r="B8" s="70"/>
      <c r="C8" s="71">
        <v>0</v>
      </c>
      <c r="D8" s="40">
        <f>D30</f>
        <v>13746377.499999996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71">
        <v>0</v>
      </c>
      <c r="P8" s="71">
        <v>0</v>
      </c>
      <c r="Q8" s="71">
        <v>0</v>
      </c>
      <c r="R8" s="9"/>
    </row>
    <row r="9" spans="1:18" x14ac:dyDescent="0.3">
      <c r="A9" s="1" t="s">
        <v>2</v>
      </c>
      <c r="B9" s="39"/>
      <c r="C9" s="40">
        <v>0</v>
      </c>
      <c r="D9" s="40">
        <f t="shared" ref="D9:Q9" si="2">(C9*(1+$B$3))+(C8*$B$4*(1+$B$3))</f>
        <v>0</v>
      </c>
      <c r="E9" s="40">
        <f t="shared" si="2"/>
        <v>211350.55406249993</v>
      </c>
      <c r="F9" s="40">
        <f t="shared" si="2"/>
        <v>216634.31791406241</v>
      </c>
      <c r="G9" s="40">
        <f t="shared" si="2"/>
        <v>222050.17586191394</v>
      </c>
      <c r="H9" s="40">
        <f t="shared" si="2"/>
        <v>227601.43025846177</v>
      </c>
      <c r="I9" s="40">
        <f t="shared" si="2"/>
        <v>233291.4660149233</v>
      </c>
      <c r="J9" s="40">
        <f t="shared" si="2"/>
        <v>239123.75266529634</v>
      </c>
      <c r="K9" s="40">
        <f t="shared" si="2"/>
        <v>245101.84648192872</v>
      </c>
      <c r="L9" s="40">
        <f t="shared" si="2"/>
        <v>251229.39264397693</v>
      </c>
      <c r="M9" s="40">
        <f t="shared" si="2"/>
        <v>257510.12746007633</v>
      </c>
      <c r="N9" s="40">
        <f t="shared" si="2"/>
        <v>263947.88064657821</v>
      </c>
      <c r="O9" s="40">
        <f t="shared" si="2"/>
        <v>270546.57766274264</v>
      </c>
      <c r="P9" s="40">
        <f t="shared" si="2"/>
        <v>277310.24210431118</v>
      </c>
      <c r="Q9" s="40">
        <f t="shared" si="2"/>
        <v>284242.99815691891</v>
      </c>
      <c r="R9" s="9"/>
    </row>
    <row r="10" spans="1:18" x14ac:dyDescent="0.3"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9"/>
    </row>
    <row r="11" spans="1:18" s="10" customFormat="1" x14ac:dyDescent="0.3">
      <c r="A11" s="8" t="s">
        <v>4</v>
      </c>
      <c r="B11" s="36"/>
      <c r="C11" s="36">
        <f t="shared" ref="C11" si="3">C12+C13</f>
        <v>0</v>
      </c>
      <c r="D11" s="36">
        <f t="shared" ref="D11" si="4">D12+D13</f>
        <v>16154409.999999996</v>
      </c>
      <c r="E11" s="36">
        <f t="shared" ref="E11" si="5">E12+E13</f>
        <v>248374.0537499999</v>
      </c>
      <c r="F11" s="36">
        <f t="shared" ref="F11" si="6">F12+F13</f>
        <v>254583.40509374987</v>
      </c>
      <c r="G11" s="36">
        <f t="shared" ref="G11" si="7">G12+G13</f>
        <v>260947.99022109358</v>
      </c>
      <c r="H11" s="36">
        <f t="shared" ref="H11" si="8">H12+H13</f>
        <v>267471.6899766209</v>
      </c>
      <c r="I11" s="36">
        <f t="shared" ref="I11" si="9">I12+I13</f>
        <v>274158.48222603637</v>
      </c>
      <c r="J11" s="36">
        <f t="shared" ref="J11" si="10">J12+J13</f>
        <v>281012.44428168726</v>
      </c>
      <c r="K11" s="36">
        <f t="shared" ref="K11" si="11">K12+K13</f>
        <v>288037.75538872939</v>
      </c>
      <c r="L11" s="36">
        <f t="shared" ref="L11" si="12">L12+L13</f>
        <v>295238.69927344762</v>
      </c>
      <c r="M11" s="36">
        <f t="shared" ref="M11" si="13">M12+M13</f>
        <v>302619.66675528378</v>
      </c>
      <c r="N11" s="36">
        <f t="shared" ref="N11" si="14">N12+N13</f>
        <v>310185.15842416586</v>
      </c>
      <c r="O11" s="36">
        <f t="shared" ref="O11:Q11" si="15">O12+O13</f>
        <v>317939.78738477</v>
      </c>
      <c r="P11" s="36">
        <f t="shared" si="15"/>
        <v>325889.28206938924</v>
      </c>
      <c r="Q11" s="36">
        <f t="shared" si="15"/>
        <v>334037.50449612399</v>
      </c>
    </row>
    <row r="12" spans="1:18" x14ac:dyDescent="0.3">
      <c r="A12" s="1" t="s">
        <v>1</v>
      </c>
      <c r="B12" s="70"/>
      <c r="C12" s="71">
        <v>0</v>
      </c>
      <c r="D12" s="40">
        <f>D31</f>
        <v>16154409.999999996</v>
      </c>
      <c r="E12" s="40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71">
        <v>0</v>
      </c>
      <c r="P12" s="71">
        <v>1</v>
      </c>
      <c r="Q12" s="71">
        <v>2</v>
      </c>
      <c r="R12" s="9"/>
    </row>
    <row r="13" spans="1:18" x14ac:dyDescent="0.3">
      <c r="A13" s="1" t="s">
        <v>2</v>
      </c>
      <c r="B13" s="39"/>
      <c r="C13" s="40">
        <v>0</v>
      </c>
      <c r="D13" s="40">
        <f t="shared" ref="D13:Q13" si="16">(C13*(1+$B$3))+(C12*$B$4*(1+$B$3))</f>
        <v>0</v>
      </c>
      <c r="E13" s="40">
        <f t="shared" si="16"/>
        <v>248374.0537499999</v>
      </c>
      <c r="F13" s="40">
        <f t="shared" si="16"/>
        <v>254583.40509374987</v>
      </c>
      <c r="G13" s="40">
        <f t="shared" si="16"/>
        <v>260947.99022109358</v>
      </c>
      <c r="H13" s="40">
        <f t="shared" si="16"/>
        <v>267471.6899766209</v>
      </c>
      <c r="I13" s="40">
        <f t="shared" si="16"/>
        <v>274158.48222603637</v>
      </c>
      <c r="J13" s="40">
        <f t="shared" si="16"/>
        <v>281012.44428168726</v>
      </c>
      <c r="K13" s="40">
        <f t="shared" si="16"/>
        <v>288037.75538872939</v>
      </c>
      <c r="L13" s="40">
        <f t="shared" si="16"/>
        <v>295238.69927344762</v>
      </c>
      <c r="M13" s="40">
        <f t="shared" si="16"/>
        <v>302619.66675528378</v>
      </c>
      <c r="N13" s="40">
        <f t="shared" si="16"/>
        <v>310185.15842416586</v>
      </c>
      <c r="O13" s="40">
        <f t="shared" si="16"/>
        <v>317939.78738477</v>
      </c>
      <c r="P13" s="40">
        <f t="shared" si="16"/>
        <v>325888.28206938924</v>
      </c>
      <c r="Q13" s="40">
        <f t="shared" si="16"/>
        <v>334035.50449612399</v>
      </c>
      <c r="R13" s="9"/>
    </row>
    <row r="14" spans="1:18" x14ac:dyDescent="0.3"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9"/>
    </row>
    <row r="15" spans="1:18" s="10" customFormat="1" x14ac:dyDescent="0.3">
      <c r="A15" s="8" t="s">
        <v>5</v>
      </c>
      <c r="B15" s="36"/>
      <c r="C15" s="36">
        <f t="shared" ref="C15" si="17">C16+C17</f>
        <v>0</v>
      </c>
      <c r="D15" s="36">
        <f t="shared" ref="D15" si="18">D16+D17</f>
        <v>5931828.7499999981</v>
      </c>
      <c r="E15" s="36">
        <f t="shared" ref="E15" si="19">E16+E17</f>
        <v>91201.86703124996</v>
      </c>
      <c r="F15" s="36">
        <f t="shared" ref="F15" si="20">F16+F17</f>
        <v>93481.913707031199</v>
      </c>
      <c r="G15" s="36">
        <f t="shared" ref="G15" si="21">G16+G17</f>
        <v>95818.961549706975</v>
      </c>
      <c r="H15" s="36">
        <f t="shared" ref="H15" si="22">H16+H17</f>
        <v>98214.435588449647</v>
      </c>
      <c r="I15" s="36">
        <f t="shared" ref="I15" si="23">I16+I17</f>
        <v>100669.79647816088</v>
      </c>
      <c r="J15" s="36">
        <f t="shared" ref="J15" si="24">J16+J17</f>
        <v>103186.54139011489</v>
      </c>
      <c r="K15" s="36">
        <f t="shared" ref="K15" si="25">K16+K17</f>
        <v>105766.20492486775</v>
      </c>
      <c r="L15" s="36">
        <f t="shared" ref="L15" si="26">L16+L17</f>
        <v>108410.36004798944</v>
      </c>
      <c r="M15" s="36">
        <f t="shared" ref="M15" si="27">M16+M17</f>
        <v>111120.61904918916</v>
      </c>
      <c r="N15" s="36">
        <f t="shared" ref="N15" si="28">N16+N17</f>
        <v>113898.63452541888</v>
      </c>
      <c r="O15" s="36">
        <f t="shared" ref="O15:Q15" si="29">O16+O17</f>
        <v>116746.10038855435</v>
      </c>
      <c r="P15" s="36">
        <f t="shared" si="29"/>
        <v>119664.7528982682</v>
      </c>
      <c r="Q15" s="36">
        <f t="shared" si="29"/>
        <v>122656.3717207249</v>
      </c>
    </row>
    <row r="16" spans="1:18" x14ac:dyDescent="0.3">
      <c r="A16" s="1" t="s">
        <v>1</v>
      </c>
      <c r="B16" s="70"/>
      <c r="C16" s="71">
        <v>0</v>
      </c>
      <c r="D16" s="40">
        <f>D32</f>
        <v>5931828.7499999981</v>
      </c>
      <c r="E16" s="40">
        <v>0</v>
      </c>
      <c r="F16" s="71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71">
        <v>0</v>
      </c>
      <c r="P16" s="71">
        <v>0</v>
      </c>
      <c r="Q16" s="71">
        <v>0</v>
      </c>
      <c r="R16" s="9"/>
    </row>
    <row r="17" spans="1:19" x14ac:dyDescent="0.3">
      <c r="A17" s="1" t="s">
        <v>2</v>
      </c>
      <c r="B17" s="39"/>
      <c r="C17" s="40">
        <v>0</v>
      </c>
      <c r="D17" s="40">
        <f t="shared" ref="D17:Q17" si="30">(C17*(1+$B$3))+(C16*$B$4*(1+$B$3))</f>
        <v>0</v>
      </c>
      <c r="E17" s="40">
        <f t="shared" si="30"/>
        <v>91201.86703124996</v>
      </c>
      <c r="F17" s="40">
        <f t="shared" si="30"/>
        <v>93481.913707031199</v>
      </c>
      <c r="G17" s="40">
        <f t="shared" si="30"/>
        <v>95818.961549706975</v>
      </c>
      <c r="H17" s="40">
        <f t="shared" si="30"/>
        <v>98214.435588449647</v>
      </c>
      <c r="I17" s="40">
        <f t="shared" si="30"/>
        <v>100669.79647816088</v>
      </c>
      <c r="J17" s="40">
        <f t="shared" si="30"/>
        <v>103186.54139011489</v>
      </c>
      <c r="K17" s="40">
        <f t="shared" si="30"/>
        <v>105766.20492486775</v>
      </c>
      <c r="L17" s="40">
        <f t="shared" si="30"/>
        <v>108410.36004798944</v>
      </c>
      <c r="M17" s="40">
        <f t="shared" si="30"/>
        <v>111120.61904918916</v>
      </c>
      <c r="N17" s="40">
        <f t="shared" si="30"/>
        <v>113898.63452541888</v>
      </c>
      <c r="O17" s="40">
        <f t="shared" si="30"/>
        <v>116746.10038855435</v>
      </c>
      <c r="P17" s="40">
        <f t="shared" si="30"/>
        <v>119664.7528982682</v>
      </c>
      <c r="Q17" s="40">
        <f t="shared" si="30"/>
        <v>122656.3717207249</v>
      </c>
      <c r="R17" s="9"/>
    </row>
    <row r="18" spans="1:19" x14ac:dyDescent="0.3"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9"/>
    </row>
    <row r="19" spans="1:19" s="10" customFormat="1" x14ac:dyDescent="0.3">
      <c r="A19" s="8" t="s">
        <v>6</v>
      </c>
      <c r="B19" s="36"/>
      <c r="C19" s="36">
        <f t="shared" ref="C19" si="31">C20+C21</f>
        <v>0</v>
      </c>
      <c r="D19" s="36">
        <f t="shared" ref="D19" si="32">D20+D21</f>
        <v>10959069.374999998</v>
      </c>
      <c r="E19" s="36">
        <f t="shared" ref="E19" si="33">E20+E21</f>
        <v>168495.69164062495</v>
      </c>
      <c r="F19" s="36">
        <f t="shared" ref="F19" si="34">F20+F21</f>
        <v>172708.08393164055</v>
      </c>
      <c r="G19" s="36">
        <f t="shared" ref="G19" si="35">G20+G21</f>
        <v>177025.78602993154</v>
      </c>
      <c r="H19" s="36">
        <f t="shared" ref="H19" si="36">H20+H21</f>
        <v>181451.4306806798</v>
      </c>
      <c r="I19" s="36">
        <f t="shared" ref="I19" si="37">I20+I21</f>
        <v>185987.71644769679</v>
      </c>
      <c r="J19" s="36">
        <f t="shared" ref="J19" si="38">J20+J21</f>
        <v>190637.40935888918</v>
      </c>
      <c r="K19" s="36">
        <f t="shared" ref="K19" si="39">K20+K21</f>
        <v>195403.34459286139</v>
      </c>
      <c r="L19" s="36">
        <f t="shared" ref="L19" si="40">L20+L21</f>
        <v>200288.42820768291</v>
      </c>
      <c r="M19" s="36">
        <f t="shared" ref="M19" si="41">M20+M21</f>
        <v>205295.63891287497</v>
      </c>
      <c r="N19" s="36">
        <f t="shared" ref="N19" si="42">N20+N21</f>
        <v>210428.02988569683</v>
      </c>
      <c r="O19" s="36">
        <f t="shared" ref="O19:Q19" si="43">O20+O21</f>
        <v>215688.73063283923</v>
      </c>
      <c r="P19" s="36">
        <f t="shared" si="43"/>
        <v>221080.94889866019</v>
      </c>
      <c r="Q19" s="36">
        <f t="shared" si="43"/>
        <v>226607.97262112668</v>
      </c>
    </row>
    <row r="20" spans="1:19" x14ac:dyDescent="0.3">
      <c r="A20" s="1" t="s">
        <v>1</v>
      </c>
      <c r="B20" s="70"/>
      <c r="C20" s="71">
        <v>0</v>
      </c>
      <c r="D20" s="40">
        <f>D33</f>
        <v>10959069.374999998</v>
      </c>
      <c r="E20" s="40">
        <v>0</v>
      </c>
      <c r="F20" s="71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71">
        <v>0</v>
      </c>
      <c r="P20" s="71">
        <v>0</v>
      </c>
      <c r="Q20" s="71">
        <v>0</v>
      </c>
      <c r="R20" s="9"/>
    </row>
    <row r="21" spans="1:19" x14ac:dyDescent="0.3">
      <c r="A21" s="1" t="s">
        <v>2</v>
      </c>
      <c r="B21" s="39"/>
      <c r="C21" s="40">
        <v>0</v>
      </c>
      <c r="D21" s="40">
        <f t="shared" ref="D21:Q21" si="44">(C21*(1+$B$3))+(C20*$B$4*(1+$B$3))</f>
        <v>0</v>
      </c>
      <c r="E21" s="40">
        <f t="shared" si="44"/>
        <v>168495.69164062495</v>
      </c>
      <c r="F21" s="40">
        <f t="shared" si="44"/>
        <v>172708.08393164055</v>
      </c>
      <c r="G21" s="40">
        <f t="shared" si="44"/>
        <v>177025.78602993154</v>
      </c>
      <c r="H21" s="40">
        <f t="shared" si="44"/>
        <v>181451.4306806798</v>
      </c>
      <c r="I21" s="40">
        <f t="shared" si="44"/>
        <v>185987.71644769679</v>
      </c>
      <c r="J21" s="40">
        <f t="shared" si="44"/>
        <v>190637.40935888918</v>
      </c>
      <c r="K21" s="40">
        <f t="shared" si="44"/>
        <v>195403.34459286139</v>
      </c>
      <c r="L21" s="40">
        <f t="shared" si="44"/>
        <v>200288.42820768291</v>
      </c>
      <c r="M21" s="40">
        <f t="shared" si="44"/>
        <v>205295.63891287497</v>
      </c>
      <c r="N21" s="40">
        <f t="shared" si="44"/>
        <v>210428.02988569683</v>
      </c>
      <c r="O21" s="40">
        <f t="shared" si="44"/>
        <v>215688.73063283923</v>
      </c>
      <c r="P21" s="40">
        <f t="shared" si="44"/>
        <v>221080.94889866019</v>
      </c>
      <c r="Q21" s="40">
        <f t="shared" si="44"/>
        <v>226607.97262112668</v>
      </c>
      <c r="R21" s="9"/>
    </row>
    <row r="22" spans="1:19" x14ac:dyDescent="0.3"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</row>
    <row r="24" spans="1:19" s="10" customFormat="1" x14ac:dyDescent="0.3">
      <c r="A24" s="8"/>
      <c r="B24" s="35"/>
      <c r="C24" s="35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</row>
    <row r="25" spans="1:19" x14ac:dyDescent="0.3">
      <c r="A25" s="1"/>
      <c r="B25" s="37"/>
      <c r="C25" s="38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71"/>
    </row>
    <row r="26" spans="1:19" x14ac:dyDescent="0.3">
      <c r="A26" s="1"/>
      <c r="B26" s="41"/>
      <c r="C26" s="38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1:19" x14ac:dyDescent="0.3">
      <c r="B27" s="43"/>
      <c r="C27" s="44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34"/>
    </row>
    <row r="28" spans="1:19" x14ac:dyDescent="0.3">
      <c r="B28" s="43"/>
      <c r="S28" s="34"/>
    </row>
    <row r="29" spans="1:19" x14ac:dyDescent="0.3">
      <c r="B29" s="48" t="s">
        <v>35</v>
      </c>
      <c r="C29" s="43">
        <v>2018</v>
      </c>
      <c r="D29" s="34">
        <v>2019</v>
      </c>
      <c r="E29" s="43">
        <v>2020</v>
      </c>
      <c r="F29" s="34">
        <v>2021</v>
      </c>
      <c r="G29" s="43">
        <v>2022</v>
      </c>
      <c r="H29" s="34">
        <v>2023</v>
      </c>
      <c r="I29" s="43">
        <v>2024</v>
      </c>
      <c r="J29" s="34">
        <v>2025</v>
      </c>
      <c r="K29" s="43">
        <v>2026</v>
      </c>
      <c r="L29" s="34">
        <v>2027</v>
      </c>
      <c r="M29" s="43">
        <v>2028</v>
      </c>
      <c r="N29" s="34">
        <v>2029</v>
      </c>
      <c r="O29" s="43">
        <v>2030</v>
      </c>
      <c r="P29" s="34">
        <v>2031</v>
      </c>
      <c r="Q29" s="34">
        <v>2032</v>
      </c>
      <c r="R29" s="43"/>
      <c r="S29" s="34"/>
    </row>
    <row r="30" spans="1:19" x14ac:dyDescent="0.3">
      <c r="A30" s="50" t="s">
        <v>31</v>
      </c>
      <c r="B30" s="51">
        <v>13084000</v>
      </c>
      <c r="C30" s="52">
        <f t="shared" ref="C30:Q30" si="45">B30*(1+$B$3)</f>
        <v>13411099.999999998</v>
      </c>
      <c r="D30" s="52">
        <f t="shared" si="45"/>
        <v>13746377.499999996</v>
      </c>
      <c r="E30" s="52">
        <f t="shared" si="45"/>
        <v>14090036.937499994</v>
      </c>
      <c r="F30" s="52">
        <f t="shared" si="45"/>
        <v>14442287.860937493</v>
      </c>
      <c r="G30" s="52">
        <f>F30*(1+$B$3)</f>
        <v>14803345.057460928</v>
      </c>
      <c r="H30" s="52">
        <f t="shared" si="45"/>
        <v>15173428.683897451</v>
      </c>
      <c r="I30" s="52">
        <f t="shared" si="45"/>
        <v>15552764.400994886</v>
      </c>
      <c r="J30" s="52">
        <f t="shared" si="45"/>
        <v>15941583.511019757</v>
      </c>
      <c r="K30" s="52">
        <f t="shared" si="45"/>
        <v>16340123.09879525</v>
      </c>
      <c r="L30" s="52">
        <f t="shared" si="45"/>
        <v>16748626.17626513</v>
      </c>
      <c r="M30" s="52">
        <f t="shared" si="45"/>
        <v>17167341.830671757</v>
      </c>
      <c r="N30" s="52">
        <f t="shared" si="45"/>
        <v>17596525.376438551</v>
      </c>
      <c r="O30" s="52">
        <f t="shared" si="45"/>
        <v>18036438.510849513</v>
      </c>
      <c r="P30" s="52">
        <f t="shared" si="45"/>
        <v>18487349.47362075</v>
      </c>
      <c r="Q30" s="52">
        <f t="shared" si="45"/>
        <v>18949533.210461266</v>
      </c>
      <c r="R30" s="20"/>
      <c r="S30" s="19"/>
    </row>
    <row r="31" spans="1:19" x14ac:dyDescent="0.3">
      <c r="A31" s="46" t="s">
        <v>32</v>
      </c>
      <c r="B31" s="47">
        <v>15376000</v>
      </c>
      <c r="C31" s="49">
        <f t="shared" ref="C31:Q31" si="46">B31*(1+$B$3)</f>
        <v>15760399.999999998</v>
      </c>
      <c r="D31" s="49">
        <f t="shared" si="46"/>
        <v>16154409.999999996</v>
      </c>
      <c r="E31" s="49">
        <f t="shared" si="46"/>
        <v>16558270.249999994</v>
      </c>
      <c r="F31" s="49">
        <f t="shared" si="46"/>
        <v>16972227.006249994</v>
      </c>
      <c r="G31" s="49">
        <f t="shared" si="46"/>
        <v>17396532.681406241</v>
      </c>
      <c r="H31" s="49">
        <f t="shared" si="46"/>
        <v>17831445.998441394</v>
      </c>
      <c r="I31" s="49">
        <f t="shared" si="46"/>
        <v>18277232.148402426</v>
      </c>
      <c r="J31" s="49">
        <f t="shared" si="46"/>
        <v>18734162.952112485</v>
      </c>
      <c r="K31" s="49">
        <f t="shared" si="46"/>
        <v>19202517.025915295</v>
      </c>
      <c r="L31" s="49">
        <f t="shared" si="46"/>
        <v>19682579.951563176</v>
      </c>
      <c r="M31" s="49">
        <f t="shared" si="46"/>
        <v>20174644.450352255</v>
      </c>
      <c r="N31" s="49">
        <f t="shared" si="46"/>
        <v>20679010.56161106</v>
      </c>
      <c r="O31" s="49">
        <f t="shared" si="46"/>
        <v>21195985.825651336</v>
      </c>
      <c r="P31" s="49">
        <f t="shared" si="46"/>
        <v>21725885.471292619</v>
      </c>
      <c r="Q31" s="49">
        <f t="shared" si="46"/>
        <v>22269032.608074933</v>
      </c>
      <c r="R31" s="20"/>
      <c r="S31" s="19"/>
    </row>
    <row r="32" spans="1:19" x14ac:dyDescent="0.3">
      <c r="A32" s="53" t="s">
        <v>54</v>
      </c>
      <c r="B32" s="51">
        <v>5646000</v>
      </c>
      <c r="C32" s="52">
        <f t="shared" ref="C32:Q32" si="47">B32*(1+$B$3)</f>
        <v>5787149.9999999991</v>
      </c>
      <c r="D32" s="52">
        <f t="shared" si="47"/>
        <v>5931828.7499999981</v>
      </c>
      <c r="E32" s="52">
        <f t="shared" si="47"/>
        <v>6080124.4687499972</v>
      </c>
      <c r="F32" s="52">
        <f t="shared" si="47"/>
        <v>6232127.5804687468</v>
      </c>
      <c r="G32" s="52">
        <f t="shared" si="47"/>
        <v>6387930.7699804651</v>
      </c>
      <c r="H32" s="52">
        <f t="shared" si="47"/>
        <v>6547629.039229976</v>
      </c>
      <c r="I32" s="52">
        <f t="shared" si="47"/>
        <v>6711319.7652107244</v>
      </c>
      <c r="J32" s="52">
        <f t="shared" si="47"/>
        <v>6879102.7593409922</v>
      </c>
      <c r="K32" s="52">
        <f t="shared" si="47"/>
        <v>7051080.3283245163</v>
      </c>
      <c r="L32" s="52">
        <f t="shared" si="47"/>
        <v>7227357.3365326282</v>
      </c>
      <c r="M32" s="52">
        <f t="shared" si="47"/>
        <v>7408041.2699459428</v>
      </c>
      <c r="N32" s="52">
        <f t="shared" si="47"/>
        <v>7593242.3016945906</v>
      </c>
      <c r="O32" s="52">
        <f t="shared" si="47"/>
        <v>7783073.3592369547</v>
      </c>
      <c r="P32" s="52">
        <f t="shared" si="47"/>
        <v>7977650.1932178782</v>
      </c>
      <c r="Q32" s="52">
        <f t="shared" si="47"/>
        <v>8177091.4480483243</v>
      </c>
      <c r="R32" s="20"/>
      <c r="S32" s="19"/>
    </row>
    <row r="33" spans="1:19" x14ac:dyDescent="0.3">
      <c r="A33" s="46" t="s">
        <v>55</v>
      </c>
      <c r="B33" s="47">
        <v>10431000</v>
      </c>
      <c r="C33" s="49">
        <f t="shared" ref="C33:Q33" si="48">B33*(1+$B$3)</f>
        <v>10691775</v>
      </c>
      <c r="D33" s="49">
        <f t="shared" si="48"/>
        <v>10959069.374999998</v>
      </c>
      <c r="E33" s="49">
        <f t="shared" si="48"/>
        <v>11233046.109374996</v>
      </c>
      <c r="F33" s="49">
        <f t="shared" si="48"/>
        <v>11513872.262109371</v>
      </c>
      <c r="G33" s="49">
        <f t="shared" si="48"/>
        <v>11801719.068662103</v>
      </c>
      <c r="H33" s="49">
        <f t="shared" si="48"/>
        <v>12096762.045378655</v>
      </c>
      <c r="I33" s="49">
        <f t="shared" si="48"/>
        <v>12399181.09651312</v>
      </c>
      <c r="J33" s="49">
        <f t="shared" si="48"/>
        <v>12709160.623925947</v>
      </c>
      <c r="K33" s="49">
        <f t="shared" si="48"/>
        <v>13026889.639524095</v>
      </c>
      <c r="L33" s="49">
        <f t="shared" si="48"/>
        <v>13352561.880512197</v>
      </c>
      <c r="M33" s="49">
        <f t="shared" si="48"/>
        <v>13686375.927525001</v>
      </c>
      <c r="N33" s="49">
        <f t="shared" si="48"/>
        <v>14028535.325713124</v>
      </c>
      <c r="O33" s="49">
        <f t="shared" si="48"/>
        <v>14379248.708855951</v>
      </c>
      <c r="P33" s="49">
        <f t="shared" si="48"/>
        <v>14738729.926577348</v>
      </c>
      <c r="Q33" s="49">
        <f t="shared" si="48"/>
        <v>15107198.17474178</v>
      </c>
      <c r="R33" s="20"/>
      <c r="S33" s="19"/>
    </row>
    <row r="37" spans="1:19" x14ac:dyDescent="0.3">
      <c r="A37" s="34"/>
    </row>
    <row r="38" spans="1:19" x14ac:dyDescent="0.3">
      <c r="A38" s="34"/>
    </row>
    <row r="39" spans="1:19" x14ac:dyDescent="0.3">
      <c r="A39" s="34"/>
    </row>
    <row r="40" spans="1:19" x14ac:dyDescent="0.3">
      <c r="A40" s="34"/>
    </row>
    <row r="41" spans="1:19" x14ac:dyDescent="0.3">
      <c r="A41" s="34"/>
    </row>
    <row r="42" spans="1:19" x14ac:dyDescent="0.3">
      <c r="A42" s="34"/>
    </row>
  </sheetData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zoomScaleNormal="100" workbookViewId="0">
      <pane xSplit="1" ySplit="3" topLeftCell="B22" activePane="bottomRight" state="frozen"/>
      <selection pane="topRight" activeCell="B1" sqref="B1"/>
      <selection pane="bottomLeft" activeCell="A4" sqref="A4"/>
      <selection pane="bottomRight" activeCell="E43" sqref="E43"/>
    </sheetView>
  </sheetViews>
  <sheetFormatPr defaultRowHeight="14.4" x14ac:dyDescent="0.3"/>
  <cols>
    <col min="1" max="1" width="23.88671875" bestFit="1" customWidth="1"/>
    <col min="2" max="2" width="11.5546875" bestFit="1" customWidth="1"/>
    <col min="3" max="3" width="25.6640625" bestFit="1" customWidth="1"/>
    <col min="4" max="5" width="12.44140625" bestFit="1" customWidth="1"/>
    <col min="6" max="6" width="13.33203125" bestFit="1" customWidth="1"/>
    <col min="7" max="7" width="12.5546875" bestFit="1" customWidth="1"/>
    <col min="8" max="9" width="13.33203125" bestFit="1" customWidth="1"/>
    <col min="10" max="12" width="13.6640625" bestFit="1" customWidth="1"/>
    <col min="13" max="18" width="13.5546875" bestFit="1" customWidth="1"/>
  </cols>
  <sheetData>
    <row r="1" spans="1:19" s="10" customFormat="1" x14ac:dyDescent="0.3">
      <c r="A1" s="19" t="s">
        <v>12</v>
      </c>
      <c r="B1" s="20">
        <v>39440</v>
      </c>
      <c r="C1" s="20"/>
      <c r="D1" s="18">
        <v>2018</v>
      </c>
      <c r="E1" s="18">
        <v>2019</v>
      </c>
      <c r="F1" s="18">
        <v>2020</v>
      </c>
      <c r="G1" s="18">
        <v>2021</v>
      </c>
      <c r="H1" s="18">
        <v>2022</v>
      </c>
      <c r="I1" s="18">
        <v>2023</v>
      </c>
      <c r="J1" s="18">
        <v>2024</v>
      </c>
      <c r="K1" s="18">
        <v>2025</v>
      </c>
      <c r="L1" s="18">
        <v>2026</v>
      </c>
      <c r="M1" s="18">
        <v>2027</v>
      </c>
      <c r="N1" s="18">
        <v>2028</v>
      </c>
      <c r="O1" s="18">
        <v>2029</v>
      </c>
      <c r="P1" s="18">
        <v>2030</v>
      </c>
      <c r="Q1" s="18">
        <v>2031</v>
      </c>
      <c r="R1" s="18">
        <v>2032</v>
      </c>
    </row>
    <row r="2" spans="1:19" x14ac:dyDescent="0.3">
      <c r="A2" s="1" t="s">
        <v>3</v>
      </c>
      <c r="B2" s="14">
        <v>6.3700000000000007E-2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9" x14ac:dyDescent="0.3">
      <c r="A3" s="15" t="s">
        <v>36</v>
      </c>
      <c r="B3" s="15" t="s">
        <v>37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9" s="10" customFormat="1" x14ac:dyDescent="0.3">
      <c r="A4" s="6" t="s">
        <v>8</v>
      </c>
      <c r="B4" s="11"/>
      <c r="C4" s="7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9" x14ac:dyDescent="0.3">
      <c r="A5" s="1" t="s">
        <v>38</v>
      </c>
      <c r="B5" s="1"/>
      <c r="C5" s="1"/>
      <c r="D5" s="16">
        <v>1.9565930029867149E-2</v>
      </c>
      <c r="E5" s="16">
        <v>1.9565930029867149E-2</v>
      </c>
      <c r="F5" s="16">
        <v>0.36981898989331508</v>
      </c>
      <c r="G5" s="16">
        <v>3.1399275182034896</v>
      </c>
      <c r="H5" s="16">
        <v>3.5630043917618903</v>
      </c>
      <c r="I5" s="16">
        <v>9.552180823406875</v>
      </c>
      <c r="J5" s="16">
        <v>22.127209700970244</v>
      </c>
      <c r="K5" s="16">
        <v>39.881662728675757</v>
      </c>
      <c r="L5" s="16">
        <v>104.1044174361903</v>
      </c>
      <c r="M5" s="16">
        <v>142.87406148569016</v>
      </c>
      <c r="N5" s="16">
        <f t="shared" ref="N5:R5" si="0">M5</f>
        <v>142.87406148569016</v>
      </c>
      <c r="O5" s="16">
        <f t="shared" si="0"/>
        <v>142.87406148569016</v>
      </c>
      <c r="P5" s="16">
        <f t="shared" si="0"/>
        <v>142.87406148569016</v>
      </c>
      <c r="Q5" s="16">
        <f t="shared" si="0"/>
        <v>142.87406148569016</v>
      </c>
      <c r="R5" s="16">
        <f t="shared" si="0"/>
        <v>142.87406148569016</v>
      </c>
    </row>
    <row r="6" spans="1:19" x14ac:dyDescent="0.3">
      <c r="A6" s="1" t="s">
        <v>0</v>
      </c>
      <c r="B6" s="1"/>
      <c r="C6" s="3"/>
      <c r="D6" s="3">
        <f>D5*$B$1</f>
        <v>771.68028037796034</v>
      </c>
      <c r="E6" s="3">
        <f t="shared" ref="E6:H6" si="1">E5*$B$1</f>
        <v>771.68028037796034</v>
      </c>
      <c r="F6" s="3">
        <f t="shared" si="1"/>
        <v>14585.660961392347</v>
      </c>
      <c r="G6" s="3">
        <f t="shared" si="1"/>
        <v>123838.74131794563</v>
      </c>
      <c r="H6" s="3">
        <f t="shared" si="1"/>
        <v>140524.89321108896</v>
      </c>
      <c r="I6" s="3">
        <f t="shared" ref="I6" si="2">I5*$B$1</f>
        <v>376738.01167516713</v>
      </c>
      <c r="J6" s="3">
        <f t="shared" ref="J6" si="3">J5*$B$1</f>
        <v>872697.15060626646</v>
      </c>
      <c r="K6" s="3">
        <f t="shared" ref="K6:L6" si="4">K5*$B$1</f>
        <v>1572932.7780189719</v>
      </c>
      <c r="L6" s="3">
        <f t="shared" si="4"/>
        <v>4105878.2236833456</v>
      </c>
      <c r="M6" s="3">
        <f t="shared" ref="M6" si="5">M5*$B$1</f>
        <v>5634952.9849956203</v>
      </c>
      <c r="N6" s="3">
        <f t="shared" ref="N6" si="6">N5*$B$1</f>
        <v>5634952.9849956203</v>
      </c>
      <c r="O6" s="3">
        <f t="shared" ref="O6:P6" si="7">O5*$B$1</f>
        <v>5634952.9849956203</v>
      </c>
      <c r="P6" s="3">
        <f t="shared" si="7"/>
        <v>5634952.9849956203</v>
      </c>
      <c r="Q6" s="3">
        <f t="shared" ref="Q6" si="8">Q5*$B$1</f>
        <v>5634952.9849956203</v>
      </c>
      <c r="R6" s="3">
        <f t="shared" ref="R6" si="9">R5*$B$1</f>
        <v>5634952.9849956203</v>
      </c>
    </row>
    <row r="7" spans="1:19" x14ac:dyDescent="0.3">
      <c r="A7" s="1" t="s">
        <v>9</v>
      </c>
      <c r="B7" s="1"/>
      <c r="C7" s="3">
        <f>NPV($B$2,D7:R7)</f>
        <v>-20066318.169319611</v>
      </c>
      <c r="D7" s="4">
        <f>0-D6</f>
        <v>-771.68028037796034</v>
      </c>
      <c r="E7" s="4">
        <f t="shared" ref="E7:R7" si="10">0-E6</f>
        <v>-771.68028037796034</v>
      </c>
      <c r="F7" s="4">
        <f t="shared" si="10"/>
        <v>-14585.660961392347</v>
      </c>
      <c r="G7" s="4">
        <f t="shared" si="10"/>
        <v>-123838.74131794563</v>
      </c>
      <c r="H7" s="4">
        <f t="shared" si="10"/>
        <v>-140524.89321108896</v>
      </c>
      <c r="I7" s="4">
        <f t="shared" si="10"/>
        <v>-376738.01167516713</v>
      </c>
      <c r="J7" s="4">
        <f t="shared" si="10"/>
        <v>-872697.15060626646</v>
      </c>
      <c r="K7" s="4">
        <f t="shared" si="10"/>
        <v>-1572932.7780189719</v>
      </c>
      <c r="L7" s="4">
        <f t="shared" si="10"/>
        <v>-4105878.2236833456</v>
      </c>
      <c r="M7" s="4">
        <f t="shared" si="10"/>
        <v>-5634952.9849956203</v>
      </c>
      <c r="N7" s="4">
        <f t="shared" si="10"/>
        <v>-5634952.9849956203</v>
      </c>
      <c r="O7" s="4">
        <f t="shared" si="10"/>
        <v>-5634952.9849956203</v>
      </c>
      <c r="P7" s="4">
        <f t="shared" si="10"/>
        <v>-5634952.9849956203</v>
      </c>
      <c r="Q7" s="4">
        <f t="shared" si="10"/>
        <v>-5634952.9849956203</v>
      </c>
      <c r="R7" s="4">
        <f t="shared" si="10"/>
        <v>-5634952.9849956203</v>
      </c>
    </row>
    <row r="8" spans="1:19" x14ac:dyDescent="0.3">
      <c r="A8" s="1" t="s">
        <v>10</v>
      </c>
      <c r="B8" s="1"/>
      <c r="C8" s="3">
        <f>NPV($B$2,E8:R8)+D8</f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/>
    </row>
    <row r="9" spans="1:19" x14ac:dyDescent="0.3">
      <c r="A9" s="1" t="s">
        <v>11</v>
      </c>
      <c r="C9" s="4">
        <f>C7-C8</f>
        <v>-20066318.169319611</v>
      </c>
    </row>
    <row r="10" spans="1:19" s="10" customFormat="1" x14ac:dyDescent="0.3">
      <c r="A10" s="6" t="s">
        <v>34</v>
      </c>
      <c r="B10" s="11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9" x14ac:dyDescent="0.3">
      <c r="A11" s="1" t="s">
        <v>38</v>
      </c>
      <c r="B11" s="1"/>
      <c r="C11" s="1"/>
      <c r="D11" s="16">
        <f>D5</f>
        <v>1.9565930029867149E-2</v>
      </c>
      <c r="E11" s="16">
        <f>E5</f>
        <v>1.9565930029867149E-2</v>
      </c>
      <c r="F11" s="1">
        <v>0</v>
      </c>
      <c r="G11" s="1">
        <v>0</v>
      </c>
      <c r="H11" s="1">
        <v>0</v>
      </c>
      <c r="I11" s="16">
        <v>4.9858744575862665E-5</v>
      </c>
      <c r="J11" s="16">
        <v>5.5085099351845248E-4</v>
      </c>
      <c r="K11" s="16">
        <v>1.25605694373247E-3</v>
      </c>
      <c r="L11" s="16">
        <v>2.4538227914392995E-3</v>
      </c>
      <c r="M11" s="16">
        <f>L11</f>
        <v>2.4538227914392995E-3</v>
      </c>
      <c r="N11" s="16">
        <f t="shared" ref="N11:R11" si="11">M11</f>
        <v>2.4538227914392995E-3</v>
      </c>
      <c r="O11" s="16">
        <f t="shared" si="11"/>
        <v>2.4538227914392995E-3</v>
      </c>
      <c r="P11" s="16">
        <f t="shared" si="11"/>
        <v>2.4538227914392995E-3</v>
      </c>
      <c r="Q11" s="16">
        <f t="shared" si="11"/>
        <v>2.4538227914392995E-3</v>
      </c>
      <c r="R11" s="16">
        <f t="shared" si="11"/>
        <v>2.4538227914392995E-3</v>
      </c>
    </row>
    <row r="12" spans="1:19" x14ac:dyDescent="0.3">
      <c r="A12" s="1" t="s">
        <v>0</v>
      </c>
      <c r="B12" s="1"/>
      <c r="C12" s="3">
        <f>NPV($B$2,D12:R12)</f>
        <v>1778.5294634005209</v>
      </c>
      <c r="D12" s="3">
        <f>D11*$B$1</f>
        <v>771.68028037796034</v>
      </c>
      <c r="E12" s="3">
        <f t="shared" ref="E12:R12" si="12">E11*$B$1</f>
        <v>771.68028037796034</v>
      </c>
      <c r="F12" s="3">
        <f t="shared" si="12"/>
        <v>0</v>
      </c>
      <c r="G12" s="3">
        <f t="shared" si="12"/>
        <v>0</v>
      </c>
      <c r="H12" s="3">
        <f t="shared" si="12"/>
        <v>0</v>
      </c>
      <c r="I12" s="3">
        <f t="shared" si="12"/>
        <v>1.9664288860720236</v>
      </c>
      <c r="J12" s="3">
        <f t="shared" si="12"/>
        <v>21.725563184367765</v>
      </c>
      <c r="K12" s="3">
        <f t="shared" si="12"/>
        <v>49.538885860808612</v>
      </c>
      <c r="L12" s="3">
        <f t="shared" si="12"/>
        <v>96.778770894365977</v>
      </c>
      <c r="M12" s="3">
        <f t="shared" si="12"/>
        <v>96.778770894365977</v>
      </c>
      <c r="N12" s="3">
        <f t="shared" si="12"/>
        <v>96.778770894365977</v>
      </c>
      <c r="O12" s="3">
        <f t="shared" si="12"/>
        <v>96.778770894365977</v>
      </c>
      <c r="P12" s="3">
        <f t="shared" si="12"/>
        <v>96.778770894365977</v>
      </c>
      <c r="Q12" s="3">
        <f t="shared" si="12"/>
        <v>96.778770894365977</v>
      </c>
      <c r="R12" s="3">
        <f t="shared" si="12"/>
        <v>96.778770894365977</v>
      </c>
    </row>
    <row r="13" spans="1:19" x14ac:dyDescent="0.3">
      <c r="A13" s="1" t="s">
        <v>9</v>
      </c>
      <c r="B13" s="1"/>
      <c r="C13" s="3">
        <f t="shared" ref="C13:C14" si="13">NPV($B$2,D13:R13)</f>
        <v>20063132.148786336</v>
      </c>
      <c r="D13" s="4">
        <f>D7</f>
        <v>-771.68028037796034</v>
      </c>
      <c r="E13" s="4">
        <f>E7</f>
        <v>-771.68028037796034</v>
      </c>
      <c r="F13" s="4">
        <f t="shared" ref="F13:R13" si="14">F$6-F12</f>
        <v>14585.660961392347</v>
      </c>
      <c r="G13" s="4">
        <f t="shared" si="14"/>
        <v>123838.74131794563</v>
      </c>
      <c r="H13" s="4">
        <f t="shared" si="14"/>
        <v>140524.89321108896</v>
      </c>
      <c r="I13" s="4">
        <f t="shared" si="14"/>
        <v>376736.04524628108</v>
      </c>
      <c r="J13" s="4">
        <f t="shared" si="14"/>
        <v>872675.4250430821</v>
      </c>
      <c r="K13" s="4">
        <f t="shared" si="14"/>
        <v>1572883.2391331112</v>
      </c>
      <c r="L13" s="4">
        <f t="shared" si="14"/>
        <v>4105781.4449124513</v>
      </c>
      <c r="M13" s="4">
        <f t="shared" si="14"/>
        <v>5634856.2062247256</v>
      </c>
      <c r="N13" s="4">
        <f t="shared" si="14"/>
        <v>5634856.2062247256</v>
      </c>
      <c r="O13" s="4">
        <f t="shared" si="14"/>
        <v>5634856.2062247256</v>
      </c>
      <c r="P13" s="4">
        <f t="shared" si="14"/>
        <v>5634856.2062247256</v>
      </c>
      <c r="Q13" s="4">
        <f t="shared" si="14"/>
        <v>5634856.2062247256</v>
      </c>
      <c r="R13" s="4">
        <f t="shared" si="14"/>
        <v>5634856.2062247256</v>
      </c>
    </row>
    <row r="14" spans="1:19" x14ac:dyDescent="0.3">
      <c r="A14" s="1" t="s">
        <v>10</v>
      </c>
      <c r="B14" s="1"/>
      <c r="C14" s="3">
        <f t="shared" si="13"/>
        <v>13994639.689840034</v>
      </c>
      <c r="D14" s="3">
        <f>'Option Costs'!C7</f>
        <v>0</v>
      </c>
      <c r="E14" s="3">
        <f>'Option Costs'!D7</f>
        <v>13746377.499999996</v>
      </c>
      <c r="F14" s="3">
        <f>'Option Costs'!E7</f>
        <v>211350.55406249993</v>
      </c>
      <c r="G14" s="3">
        <f>'Option Costs'!F7</f>
        <v>216634.31791406241</v>
      </c>
      <c r="H14" s="3">
        <f>'Option Costs'!G7</f>
        <v>222050.17586191394</v>
      </c>
      <c r="I14" s="3">
        <f>'Option Costs'!H7</f>
        <v>227601.43025846177</v>
      </c>
      <c r="J14" s="3">
        <f>'Option Costs'!I7</f>
        <v>233291.4660149233</v>
      </c>
      <c r="K14" s="3">
        <f>'Option Costs'!J7</f>
        <v>239123.75266529634</v>
      </c>
      <c r="L14" s="3">
        <f>'Option Costs'!K7</f>
        <v>245101.84648192872</v>
      </c>
      <c r="M14" s="3">
        <f>'Option Costs'!L7</f>
        <v>251229.39264397693</v>
      </c>
      <c r="N14" s="3">
        <f>'Option Costs'!M7</f>
        <v>257510.12746007633</v>
      </c>
      <c r="O14" s="3">
        <f>'Option Costs'!N7</f>
        <v>263947.88064657821</v>
      </c>
      <c r="P14" s="3">
        <f>'Option Costs'!O7</f>
        <v>270546.57766274264</v>
      </c>
      <c r="Q14" s="3">
        <f>'Option Costs'!P7</f>
        <v>277310.24210431118</v>
      </c>
      <c r="R14" s="3">
        <f>'Option Costs'!Q7</f>
        <v>284242.99815691891</v>
      </c>
    </row>
    <row r="15" spans="1:19" x14ac:dyDescent="0.3">
      <c r="A15" s="1" t="s">
        <v>11</v>
      </c>
      <c r="C15" s="4">
        <f>C13-C14</f>
        <v>6068492.4589463025</v>
      </c>
    </row>
    <row r="16" spans="1:19" s="10" customFormat="1" x14ac:dyDescent="0.3">
      <c r="A16" s="6" t="s">
        <v>4</v>
      </c>
      <c r="B16" s="11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x14ac:dyDescent="0.3">
      <c r="A17" s="1" t="s">
        <v>38</v>
      </c>
      <c r="B17" s="1"/>
      <c r="C17" s="1"/>
      <c r="D17" s="16">
        <f>D5</f>
        <v>1.9565930029867149E-2</v>
      </c>
      <c r="E17" s="16">
        <f>E5</f>
        <v>1.9565930029867149E-2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</row>
    <row r="18" spans="1:18" x14ac:dyDescent="0.3">
      <c r="A18" s="1" t="s">
        <v>0</v>
      </c>
      <c r="B18" s="1"/>
      <c r="C18" s="3">
        <f>NPV($B$2,D18:R18)</f>
        <v>1407.4910698746469</v>
      </c>
      <c r="D18" s="3">
        <f>D17*$B$1</f>
        <v>771.68028037796034</v>
      </c>
      <c r="E18" s="3">
        <f t="shared" ref="E18:R18" si="15">E17*$B$1</f>
        <v>771.68028037796034</v>
      </c>
      <c r="F18" s="3">
        <f t="shared" si="15"/>
        <v>0</v>
      </c>
      <c r="G18" s="3">
        <f t="shared" si="15"/>
        <v>0</v>
      </c>
      <c r="H18" s="3">
        <f t="shared" si="15"/>
        <v>0</v>
      </c>
      <c r="I18" s="3">
        <f t="shared" si="15"/>
        <v>0</v>
      </c>
      <c r="J18" s="3">
        <f t="shared" si="15"/>
        <v>0</v>
      </c>
      <c r="K18" s="3">
        <f t="shared" si="15"/>
        <v>0</v>
      </c>
      <c r="L18" s="3">
        <f t="shared" si="15"/>
        <v>0</v>
      </c>
      <c r="M18" s="3">
        <f t="shared" si="15"/>
        <v>0</v>
      </c>
      <c r="N18" s="3">
        <f t="shared" si="15"/>
        <v>0</v>
      </c>
      <c r="O18" s="3">
        <f t="shared" si="15"/>
        <v>0</v>
      </c>
      <c r="P18" s="3">
        <f t="shared" si="15"/>
        <v>0</v>
      </c>
      <c r="Q18" s="3">
        <f t="shared" si="15"/>
        <v>0</v>
      </c>
      <c r="R18" s="3">
        <f t="shared" si="15"/>
        <v>0</v>
      </c>
    </row>
    <row r="19" spans="1:18" x14ac:dyDescent="0.3">
      <c r="A19" s="1" t="s">
        <v>9</v>
      </c>
      <c r="B19" s="1"/>
      <c r="C19" s="3">
        <f t="shared" ref="C19:C20" si="16">NPV($B$2,D19:R19)</f>
        <v>20063503.187179863</v>
      </c>
      <c r="D19" s="4">
        <f>D7</f>
        <v>-771.68028037796034</v>
      </c>
      <c r="E19" s="4">
        <f>E7</f>
        <v>-771.68028037796034</v>
      </c>
      <c r="F19" s="4">
        <f t="shared" ref="F19" si="17">F$6-F18</f>
        <v>14585.660961392347</v>
      </c>
      <c r="G19" s="4">
        <f t="shared" ref="G19" si="18">G$6-G18</f>
        <v>123838.74131794563</v>
      </c>
      <c r="H19" s="4">
        <f t="shared" ref="H19" si="19">H$6-H18</f>
        <v>140524.89321108896</v>
      </c>
      <c r="I19" s="4">
        <f t="shared" ref="I19" si="20">I$6-I18</f>
        <v>376738.01167516713</v>
      </c>
      <c r="J19" s="4">
        <f t="shared" ref="J19" si="21">J$6-J18</f>
        <v>872697.15060626646</v>
      </c>
      <c r="K19" s="4">
        <f t="shared" ref="K19" si="22">K$6-K18</f>
        <v>1572932.7780189719</v>
      </c>
      <c r="L19" s="4">
        <f t="shared" ref="L19" si="23">L$6-L18</f>
        <v>4105878.2236833456</v>
      </c>
      <c r="M19" s="4">
        <f t="shared" ref="M19" si="24">M$6-M18</f>
        <v>5634952.9849956203</v>
      </c>
      <c r="N19" s="4">
        <f t="shared" ref="N19" si="25">N$6-N18</f>
        <v>5634952.9849956203</v>
      </c>
      <c r="O19" s="4">
        <f t="shared" ref="O19" si="26">O$6-O18</f>
        <v>5634952.9849956203</v>
      </c>
      <c r="P19" s="4">
        <f t="shared" ref="P19" si="27">P$6-P18</f>
        <v>5634952.9849956203</v>
      </c>
      <c r="Q19" s="4">
        <f t="shared" ref="Q19" si="28">Q$6-Q18</f>
        <v>5634952.9849956203</v>
      </c>
      <c r="R19" s="4">
        <f t="shared" ref="R19" si="29">R$6-R18</f>
        <v>5634952.9849956203</v>
      </c>
    </row>
    <row r="20" spans="1:18" x14ac:dyDescent="0.3">
      <c r="A20" s="1" t="s">
        <v>10</v>
      </c>
      <c r="B20" s="1"/>
      <c r="C20" s="3">
        <f t="shared" si="16"/>
        <v>16446162.933745109</v>
      </c>
      <c r="D20" s="3">
        <f>'Option Costs'!C11</f>
        <v>0</v>
      </c>
      <c r="E20" s="3">
        <f>'Option Costs'!D11</f>
        <v>16154409.999999996</v>
      </c>
      <c r="F20" s="3">
        <f>'Option Costs'!E11</f>
        <v>248374.0537499999</v>
      </c>
      <c r="G20" s="3">
        <f>'Option Costs'!F11</f>
        <v>254583.40509374987</v>
      </c>
      <c r="H20" s="3">
        <f>'Option Costs'!G11</f>
        <v>260947.99022109358</v>
      </c>
      <c r="I20" s="3">
        <f>'Option Costs'!H11</f>
        <v>267471.6899766209</v>
      </c>
      <c r="J20" s="3">
        <f>'Option Costs'!I11</f>
        <v>274158.48222603637</v>
      </c>
      <c r="K20" s="3">
        <f>'Option Costs'!J11</f>
        <v>281012.44428168726</v>
      </c>
      <c r="L20" s="3">
        <f>'Option Costs'!K11</f>
        <v>288037.75538872939</v>
      </c>
      <c r="M20" s="3">
        <f>'Option Costs'!L11</f>
        <v>295238.69927344762</v>
      </c>
      <c r="N20" s="3">
        <f>'Option Costs'!M11</f>
        <v>302619.66675528378</v>
      </c>
      <c r="O20" s="3">
        <f>'Option Costs'!N11</f>
        <v>310185.15842416586</v>
      </c>
      <c r="P20" s="3">
        <f>'Option Costs'!O11</f>
        <v>317939.78738477</v>
      </c>
      <c r="Q20" s="3">
        <f>'Option Costs'!P11</f>
        <v>325889.28206938924</v>
      </c>
      <c r="R20" s="3">
        <f>'Option Costs'!Q11</f>
        <v>334037.50449612399</v>
      </c>
    </row>
    <row r="21" spans="1:18" x14ac:dyDescent="0.3">
      <c r="A21" s="1" t="s">
        <v>11</v>
      </c>
      <c r="C21" s="4">
        <f>C19-C20</f>
        <v>3617340.2534347549</v>
      </c>
    </row>
    <row r="22" spans="1:18" s="10" customFormat="1" x14ac:dyDescent="0.3">
      <c r="A22" s="6" t="s">
        <v>5</v>
      </c>
      <c r="B22" s="11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 x14ac:dyDescent="0.3">
      <c r="A23" s="1" t="s">
        <v>38</v>
      </c>
      <c r="B23" s="1"/>
      <c r="C23" s="1"/>
      <c r="D23" s="16">
        <v>1.9565930029867149E-2</v>
      </c>
      <c r="E23" s="16">
        <v>1.9565930029867149E-2</v>
      </c>
      <c r="F23" s="1">
        <v>47.239070088839853</v>
      </c>
      <c r="G23" s="1">
        <v>37.536314923755278</v>
      </c>
      <c r="H23" s="1">
        <v>61.795397589740404</v>
      </c>
      <c r="I23" s="1">
        <v>97.404100591273604</v>
      </c>
      <c r="J23" s="1">
        <v>121.45638633690957</v>
      </c>
      <c r="K23" s="1">
        <v>211.62001839967041</v>
      </c>
      <c r="L23" s="1">
        <v>247.63414383263287</v>
      </c>
      <c r="M23" s="1">
        <v>247.63414383263287</v>
      </c>
      <c r="N23" s="1">
        <v>247.63414383263287</v>
      </c>
      <c r="O23" s="1">
        <v>247.63414383263287</v>
      </c>
      <c r="P23" s="1">
        <v>247.63414383263287</v>
      </c>
      <c r="Q23" s="1">
        <v>247.63414383263287</v>
      </c>
      <c r="R23" s="1">
        <v>247.63414383263287</v>
      </c>
    </row>
    <row r="24" spans="1:18" x14ac:dyDescent="0.3">
      <c r="A24" s="1" t="s">
        <v>0</v>
      </c>
      <c r="B24" s="1"/>
      <c r="C24" s="3">
        <f>NPV($B$2,D24:R24)</f>
        <v>48183320.75266403</v>
      </c>
      <c r="D24" s="3">
        <f>D23*$B$1</f>
        <v>771.68028037796034</v>
      </c>
      <c r="E24" s="3">
        <f>E23*$B$1</f>
        <v>771.68028037796034</v>
      </c>
      <c r="F24" s="3">
        <f t="shared" ref="F24:R24" si="30">F23*$B$1</f>
        <v>1863108.9243038439</v>
      </c>
      <c r="G24" s="3">
        <f t="shared" si="30"/>
        <v>1480432.2605929081</v>
      </c>
      <c r="H24" s="3">
        <f t="shared" si="30"/>
        <v>2437210.4809393617</v>
      </c>
      <c r="I24" s="3">
        <f t="shared" si="30"/>
        <v>3841617.727319831</v>
      </c>
      <c r="J24" s="3">
        <f t="shared" si="30"/>
        <v>4790239.8771277135</v>
      </c>
      <c r="K24" s="3">
        <f t="shared" si="30"/>
        <v>8346293.5256830007</v>
      </c>
      <c r="L24" s="3">
        <f t="shared" si="30"/>
        <v>9766690.6327590402</v>
      </c>
      <c r="M24" s="3">
        <f t="shared" si="30"/>
        <v>9766690.6327590402</v>
      </c>
      <c r="N24" s="3">
        <f t="shared" si="30"/>
        <v>9766690.6327590402</v>
      </c>
      <c r="O24" s="3">
        <f t="shared" si="30"/>
        <v>9766690.6327590402</v>
      </c>
      <c r="P24" s="3">
        <f t="shared" si="30"/>
        <v>9766690.6327590402</v>
      </c>
      <c r="Q24" s="3">
        <f t="shared" si="30"/>
        <v>9766690.6327590402</v>
      </c>
      <c r="R24" s="3">
        <f t="shared" si="30"/>
        <v>9766690.6327590402</v>
      </c>
    </row>
    <row r="25" spans="1:18" x14ac:dyDescent="0.3">
      <c r="A25" s="1" t="s">
        <v>9</v>
      </c>
      <c r="B25" s="1"/>
      <c r="C25" s="3">
        <f t="shared" ref="C25:C26" si="31">NPV($B$2,D25:R25)</f>
        <v>-28118410.074414283</v>
      </c>
      <c r="D25" s="4">
        <f>D7</f>
        <v>-771.68028037796034</v>
      </c>
      <c r="E25" s="4">
        <f>E7</f>
        <v>-771.68028037796034</v>
      </c>
      <c r="F25" s="4">
        <f t="shared" ref="F25" si="32">F$6-F24</f>
        <v>-1848523.2633424515</v>
      </c>
      <c r="G25" s="4">
        <f t="shared" ref="G25" si="33">G$6-G24</f>
        <v>-1356593.5192749626</v>
      </c>
      <c r="H25" s="4">
        <f t="shared" ref="H25" si="34">H$6-H24</f>
        <v>-2296685.5877282727</v>
      </c>
      <c r="I25" s="4">
        <f t="shared" ref="I25" si="35">I$6-I24</f>
        <v>-3464879.7156446641</v>
      </c>
      <c r="J25" s="4">
        <f t="shared" ref="J25" si="36">J$6-J24</f>
        <v>-3917542.7265214473</v>
      </c>
      <c r="K25" s="4">
        <f t="shared" ref="K25" si="37">K$6-K24</f>
        <v>-6773360.7476640288</v>
      </c>
      <c r="L25" s="4">
        <f t="shared" ref="L25" si="38">L$6-L24</f>
        <v>-5660812.4090756942</v>
      </c>
      <c r="M25" s="4">
        <f t="shared" ref="M25" si="39">M$6-M24</f>
        <v>-4131737.6477634199</v>
      </c>
      <c r="N25" s="4">
        <f t="shared" ref="N25" si="40">N$6-N24</f>
        <v>-4131737.6477634199</v>
      </c>
      <c r="O25" s="4">
        <f t="shared" ref="O25" si="41">O$6-O24</f>
        <v>-4131737.6477634199</v>
      </c>
      <c r="P25" s="4">
        <f t="shared" ref="P25" si="42">P$6-P24</f>
        <v>-4131737.6477634199</v>
      </c>
      <c r="Q25" s="4">
        <f t="shared" ref="Q25" si="43">Q$6-Q24</f>
        <v>-4131737.6477634199</v>
      </c>
      <c r="R25" s="4">
        <f t="shared" ref="R25" si="44">R$6-R24</f>
        <v>-4131737.6477634199</v>
      </c>
    </row>
    <row r="26" spans="1:18" x14ac:dyDescent="0.3">
      <c r="A26" s="1" t="s">
        <v>10</v>
      </c>
      <c r="B26" s="1"/>
      <c r="C26" s="3">
        <f t="shared" si="31"/>
        <v>6038958.7044357089</v>
      </c>
      <c r="D26" s="3">
        <f>'Option Costs'!C15</f>
        <v>0</v>
      </c>
      <c r="E26" s="3">
        <f>'Option Costs'!D15</f>
        <v>5931828.7499999981</v>
      </c>
      <c r="F26" s="3">
        <f>'Option Costs'!E15</f>
        <v>91201.86703124996</v>
      </c>
      <c r="G26" s="3">
        <f>'Option Costs'!F15</f>
        <v>93481.913707031199</v>
      </c>
      <c r="H26" s="3">
        <f>'Option Costs'!G15</f>
        <v>95818.961549706975</v>
      </c>
      <c r="I26" s="3">
        <f>'Option Costs'!H15</f>
        <v>98214.435588449647</v>
      </c>
      <c r="J26" s="3">
        <f>'Option Costs'!I15</f>
        <v>100669.79647816088</v>
      </c>
      <c r="K26" s="3">
        <f>'Option Costs'!J15</f>
        <v>103186.54139011489</v>
      </c>
      <c r="L26" s="3">
        <f>'Option Costs'!K15</f>
        <v>105766.20492486775</v>
      </c>
      <c r="M26" s="3">
        <f>'Option Costs'!L15</f>
        <v>108410.36004798944</v>
      </c>
      <c r="N26" s="3">
        <f>'Option Costs'!M15</f>
        <v>111120.61904918916</v>
      </c>
      <c r="O26" s="3">
        <f>'Option Costs'!N15</f>
        <v>113898.63452541888</v>
      </c>
      <c r="P26" s="3">
        <f>'Option Costs'!O15</f>
        <v>116746.10038855435</v>
      </c>
      <c r="Q26" s="3">
        <f>'Option Costs'!P15</f>
        <v>119664.7528982682</v>
      </c>
      <c r="R26" s="3">
        <f>'Option Costs'!Q15</f>
        <v>122656.3717207249</v>
      </c>
    </row>
    <row r="27" spans="1:18" x14ac:dyDescent="0.3">
      <c r="A27" s="1" t="s">
        <v>11</v>
      </c>
      <c r="C27" s="4">
        <f>C25-C26</f>
        <v>-34157368.778849989</v>
      </c>
    </row>
    <row r="28" spans="1:18" s="10" customFormat="1" x14ac:dyDescent="0.3">
      <c r="A28" s="6" t="s">
        <v>6</v>
      </c>
      <c r="B28" s="11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 x14ac:dyDescent="0.3">
      <c r="A29" s="1" t="s">
        <v>38</v>
      </c>
      <c r="B29" s="1"/>
      <c r="C29" s="1"/>
      <c r="D29" s="16">
        <v>1.9565930029867149E-2</v>
      </c>
      <c r="E29" s="16">
        <v>1.9565930029867149E-2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</row>
    <row r="30" spans="1:18" x14ac:dyDescent="0.3">
      <c r="A30" s="1" t="s">
        <v>0</v>
      </c>
      <c r="B30" s="1"/>
      <c r="C30" s="3">
        <f>NPV($B$2,D30:R30)</f>
        <v>1407.4910698746469</v>
      </c>
      <c r="D30" s="3">
        <f>D29*$B$1</f>
        <v>771.68028037796034</v>
      </c>
      <c r="E30" s="3">
        <f>E29*$B$1</f>
        <v>771.68028037796034</v>
      </c>
      <c r="F30" s="3">
        <f t="shared" ref="F30:R30" si="45">F29*$B$1</f>
        <v>0</v>
      </c>
      <c r="G30" s="3">
        <f t="shared" si="45"/>
        <v>0</v>
      </c>
      <c r="H30" s="3">
        <f t="shared" si="45"/>
        <v>0</v>
      </c>
      <c r="I30" s="3">
        <f t="shared" si="45"/>
        <v>0</v>
      </c>
      <c r="J30" s="3">
        <f t="shared" si="45"/>
        <v>0</v>
      </c>
      <c r="K30" s="3">
        <f t="shared" si="45"/>
        <v>0</v>
      </c>
      <c r="L30" s="3">
        <f t="shared" si="45"/>
        <v>0</v>
      </c>
      <c r="M30" s="3">
        <f t="shared" si="45"/>
        <v>0</v>
      </c>
      <c r="N30" s="3">
        <f t="shared" si="45"/>
        <v>0</v>
      </c>
      <c r="O30" s="3">
        <f t="shared" si="45"/>
        <v>0</v>
      </c>
      <c r="P30" s="3">
        <f t="shared" si="45"/>
        <v>0</v>
      </c>
      <c r="Q30" s="3">
        <f t="shared" si="45"/>
        <v>0</v>
      </c>
      <c r="R30" s="3">
        <f t="shared" si="45"/>
        <v>0</v>
      </c>
    </row>
    <row r="31" spans="1:18" x14ac:dyDescent="0.3">
      <c r="A31" s="1" t="s">
        <v>9</v>
      </c>
      <c r="B31" s="1"/>
      <c r="C31" s="3">
        <f t="shared" ref="C31:C32" si="46">NPV($B$2,D31:R31)</f>
        <v>20063503.187179863</v>
      </c>
      <c r="D31" s="4">
        <f>D7</f>
        <v>-771.68028037796034</v>
      </c>
      <c r="E31" s="4">
        <f>E7</f>
        <v>-771.68028037796034</v>
      </c>
      <c r="F31" s="4">
        <f t="shared" ref="F31" si="47">F$6-F30</f>
        <v>14585.660961392347</v>
      </c>
      <c r="G31" s="4">
        <f t="shared" ref="G31" si="48">G$6-G30</f>
        <v>123838.74131794563</v>
      </c>
      <c r="H31" s="4">
        <f t="shared" ref="H31" si="49">H$6-H30</f>
        <v>140524.89321108896</v>
      </c>
      <c r="I31" s="4">
        <f t="shared" ref="I31" si="50">I$6-I30</f>
        <v>376738.01167516713</v>
      </c>
      <c r="J31" s="4">
        <f t="shared" ref="J31" si="51">J$6-J30</f>
        <v>872697.15060626646</v>
      </c>
      <c r="K31" s="4">
        <f t="shared" ref="K31" si="52">K$6-K30</f>
        <v>1572932.7780189719</v>
      </c>
      <c r="L31" s="4">
        <f t="shared" ref="L31" si="53">L$6-L30</f>
        <v>4105878.2236833456</v>
      </c>
      <c r="M31" s="4">
        <f t="shared" ref="M31" si="54">M$6-M30</f>
        <v>5634952.9849956203</v>
      </c>
      <c r="N31" s="4">
        <f t="shared" ref="N31" si="55">N$6-N30</f>
        <v>5634952.9849956203</v>
      </c>
      <c r="O31" s="4">
        <f t="shared" ref="O31" si="56">O$6-O30</f>
        <v>5634952.9849956203</v>
      </c>
      <c r="P31" s="4">
        <f t="shared" ref="P31" si="57">P$6-P30</f>
        <v>5634952.9849956203</v>
      </c>
      <c r="Q31" s="4">
        <f t="shared" ref="Q31" si="58">Q$6-Q30</f>
        <v>5634952.9849956203</v>
      </c>
      <c r="R31" s="4">
        <f t="shared" ref="R31" si="59">R$6-R30</f>
        <v>5634952.9849956203</v>
      </c>
    </row>
    <row r="32" spans="1:18" x14ac:dyDescent="0.3">
      <c r="A32" s="1" t="s">
        <v>10</v>
      </c>
      <c r="B32" s="1"/>
      <c r="C32" s="3">
        <f t="shared" si="46"/>
        <v>11156992.250437282</v>
      </c>
      <c r="D32" s="3">
        <f>'Option Costs'!C19</f>
        <v>0</v>
      </c>
      <c r="E32" s="3">
        <f>'Option Costs'!D19</f>
        <v>10959069.374999998</v>
      </c>
      <c r="F32" s="3">
        <f>'Option Costs'!E19</f>
        <v>168495.69164062495</v>
      </c>
      <c r="G32" s="3">
        <f>'Option Costs'!F19</f>
        <v>172708.08393164055</v>
      </c>
      <c r="H32" s="3">
        <f>'Option Costs'!G19</f>
        <v>177025.78602993154</v>
      </c>
      <c r="I32" s="3">
        <f>'Option Costs'!H19</f>
        <v>181451.4306806798</v>
      </c>
      <c r="J32" s="3">
        <f>'Option Costs'!I19</f>
        <v>185987.71644769679</v>
      </c>
      <c r="K32" s="3">
        <f>'Option Costs'!J19</f>
        <v>190637.40935888918</v>
      </c>
      <c r="L32" s="3">
        <f>'Option Costs'!K19</f>
        <v>195403.34459286139</v>
      </c>
      <c r="M32" s="3">
        <f>'Option Costs'!L19</f>
        <v>200288.42820768291</v>
      </c>
      <c r="N32" s="3">
        <f>'Option Costs'!M19</f>
        <v>205295.63891287497</v>
      </c>
      <c r="O32" s="3">
        <f>'Option Costs'!N19</f>
        <v>210428.02988569683</v>
      </c>
      <c r="P32" s="3">
        <f>'Option Costs'!O19</f>
        <v>215688.73063283923</v>
      </c>
      <c r="Q32" s="3">
        <f>'Option Costs'!P19</f>
        <v>221080.94889866019</v>
      </c>
      <c r="R32" s="3">
        <f>'Option Costs'!Q19</f>
        <v>226607.97262112668</v>
      </c>
    </row>
    <row r="33" spans="1:18" x14ac:dyDescent="0.3">
      <c r="A33" s="1" t="s">
        <v>11</v>
      </c>
      <c r="C33" s="4">
        <f>C31-C32</f>
        <v>8906510.9367425814</v>
      </c>
    </row>
    <row r="34" spans="1:18" s="10" customFormat="1" x14ac:dyDescent="0.3">
      <c r="A34" s="6"/>
      <c r="B34" s="11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1:18" x14ac:dyDescent="0.3">
      <c r="A35" s="1"/>
      <c r="B35" s="1"/>
      <c r="C35" s="1"/>
      <c r="D35" s="1"/>
      <c r="E35" s="1"/>
      <c r="F35" s="16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x14ac:dyDescent="0.3">
      <c r="A36" s="72" t="s">
        <v>42</v>
      </c>
      <c r="B36" s="1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x14ac:dyDescent="0.3">
      <c r="A37" s="1"/>
      <c r="B37" s="1"/>
      <c r="C37" s="3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x14ac:dyDescent="0.3">
      <c r="A38" s="1"/>
      <c r="B38" s="1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x14ac:dyDescent="0.3">
      <c r="A39" s="1"/>
      <c r="C39" s="4"/>
    </row>
    <row r="40" spans="1:18" x14ac:dyDescent="0.3">
      <c r="D40">
        <v>1.9565930029867149E-2</v>
      </c>
      <c r="E40">
        <v>1.9565930029867149E-2</v>
      </c>
      <c r="F40">
        <v>47.239070088839853</v>
      </c>
      <c r="G40">
        <v>37.536314923755278</v>
      </c>
      <c r="H40">
        <v>61.795397589740404</v>
      </c>
      <c r="I40">
        <v>97.404100591273604</v>
      </c>
      <c r="J40">
        <v>121.45638633690957</v>
      </c>
      <c r="K40">
        <v>211.62001839967041</v>
      </c>
      <c r="L40">
        <v>247.63414383263287</v>
      </c>
      <c r="M40">
        <v>247.63414383263287</v>
      </c>
      <c r="N40">
        <v>247.63414383263287</v>
      </c>
      <c r="O40">
        <v>247.63414383263287</v>
      </c>
      <c r="P40">
        <v>247.63414383263287</v>
      </c>
      <c r="Q40">
        <v>247.63414383263287</v>
      </c>
      <c r="R40">
        <v>247.63414383263287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zoomScaleNormal="100" workbookViewId="0">
      <pane xSplit="3" ySplit="3" topLeftCell="D4" activePane="bottomRight" state="frozen"/>
      <selection pane="topRight" activeCell="F1" sqref="F1"/>
      <selection pane="bottomLeft" activeCell="A4" sqref="A4"/>
      <selection pane="bottomRight" activeCell="G5" sqref="G5"/>
    </sheetView>
  </sheetViews>
  <sheetFormatPr defaultRowHeight="14.4" x14ac:dyDescent="0.3"/>
  <cols>
    <col min="1" max="1" width="23.88671875" bestFit="1" customWidth="1"/>
    <col min="2" max="2" width="11.44140625" bestFit="1" customWidth="1"/>
    <col min="3" max="3" width="25.6640625" bestFit="1" customWidth="1"/>
    <col min="4" max="4" width="12" bestFit="1" customWidth="1"/>
    <col min="5" max="5" width="12.44140625" bestFit="1" customWidth="1"/>
    <col min="6" max="6" width="13.109375" bestFit="1" customWidth="1"/>
    <col min="7" max="7" width="12.88671875" bestFit="1" customWidth="1"/>
    <col min="8" max="9" width="13.109375" bestFit="1" customWidth="1"/>
    <col min="10" max="11" width="13.5546875" bestFit="1" customWidth="1"/>
    <col min="12" max="12" width="13.109375" bestFit="1" customWidth="1"/>
    <col min="13" max="18" width="13.5546875" bestFit="1" customWidth="1"/>
  </cols>
  <sheetData>
    <row r="1" spans="1:18" s="10" customFormat="1" x14ac:dyDescent="0.3">
      <c r="A1" s="19" t="s">
        <v>12</v>
      </c>
      <c r="B1" s="20">
        <f>'Cost-Benefit (BASE)'!$B$1*1.2</f>
        <v>47328</v>
      </c>
      <c r="C1" s="17"/>
      <c r="D1" s="18">
        <v>2018</v>
      </c>
      <c r="E1" s="18">
        <v>2019</v>
      </c>
      <c r="F1" s="18">
        <v>2020</v>
      </c>
      <c r="G1" s="18">
        <v>2021</v>
      </c>
      <c r="H1" s="18">
        <v>2022</v>
      </c>
      <c r="I1" s="18">
        <v>2023</v>
      </c>
      <c r="J1" s="18">
        <v>2024</v>
      </c>
      <c r="K1" s="18">
        <v>2025</v>
      </c>
      <c r="L1" s="18">
        <v>2026</v>
      </c>
      <c r="M1" s="18">
        <v>2027</v>
      </c>
      <c r="N1" s="18">
        <v>2028</v>
      </c>
      <c r="O1" s="18">
        <v>2029</v>
      </c>
      <c r="P1" s="18">
        <v>2030</v>
      </c>
      <c r="Q1" s="18">
        <v>2031</v>
      </c>
      <c r="R1" s="18">
        <v>2032</v>
      </c>
    </row>
    <row r="2" spans="1:18" x14ac:dyDescent="0.3">
      <c r="A2" s="1" t="s">
        <v>3</v>
      </c>
      <c r="B2" s="14">
        <v>6.3700000000000007E-2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x14ac:dyDescent="0.3">
      <c r="A3" s="15" t="s">
        <v>36</v>
      </c>
      <c r="B3" s="15" t="s">
        <v>37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s="10" customFormat="1" x14ac:dyDescent="0.3">
      <c r="A4" s="6" t="s">
        <v>8</v>
      </c>
      <c r="B4" s="11"/>
      <c r="C4" s="7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x14ac:dyDescent="0.3">
      <c r="A5" s="1" t="s">
        <v>38</v>
      </c>
      <c r="B5" s="1"/>
      <c r="C5" s="1"/>
      <c r="D5" s="16">
        <f>'Cost-Benefit (BASE)'!D5</f>
        <v>1.9565930029867149E-2</v>
      </c>
      <c r="E5" s="16">
        <f>'Cost-Benefit (BASE)'!E5</f>
        <v>1.9565930029867149E-2</v>
      </c>
      <c r="F5" s="16">
        <f>'Cost-Benefit (BASE)'!F5</f>
        <v>0.36981898989331508</v>
      </c>
      <c r="G5" s="16">
        <f>'Cost-Benefit (BASE)'!G5</f>
        <v>3.1399275182034896</v>
      </c>
      <c r="H5" s="16">
        <f>'Cost-Benefit (BASE)'!H5</f>
        <v>3.5630043917618903</v>
      </c>
      <c r="I5" s="16">
        <f>'Cost-Benefit (BASE)'!I5</f>
        <v>9.552180823406875</v>
      </c>
      <c r="J5" s="16">
        <f>'Cost-Benefit (BASE)'!J5</f>
        <v>22.127209700970244</v>
      </c>
      <c r="K5" s="16">
        <f>'Cost-Benefit (BASE)'!K5</f>
        <v>39.881662728675757</v>
      </c>
      <c r="L5" s="16">
        <f>'Cost-Benefit (BASE)'!L5</f>
        <v>104.1044174361903</v>
      </c>
      <c r="M5" s="16">
        <f>'Cost-Benefit (BASE)'!M5</f>
        <v>142.87406148569016</v>
      </c>
      <c r="N5" s="16">
        <f>'Cost-Benefit (BASE)'!N5</f>
        <v>142.87406148569016</v>
      </c>
      <c r="O5" s="16">
        <f>'Cost-Benefit (BASE)'!O5</f>
        <v>142.87406148569016</v>
      </c>
      <c r="P5" s="16">
        <f>'Cost-Benefit (BASE)'!P5</f>
        <v>142.87406148569016</v>
      </c>
      <c r="Q5" s="16">
        <f>'Cost-Benefit (BASE)'!Q5</f>
        <v>142.87406148569016</v>
      </c>
      <c r="R5" s="16">
        <f>'Cost-Benefit (BASE)'!R5</f>
        <v>142.87406148569016</v>
      </c>
    </row>
    <row r="6" spans="1:18" x14ac:dyDescent="0.3">
      <c r="A6" s="1" t="s">
        <v>0</v>
      </c>
      <c r="B6" s="1"/>
      <c r="C6" s="3">
        <f>NPV($B$2,D6:R6)</f>
        <v>24079581.803183537</v>
      </c>
      <c r="D6" s="3">
        <f>D5*$B$1</f>
        <v>926.01633645355241</v>
      </c>
      <c r="E6" s="3">
        <f t="shared" ref="E6:Q6" si="0">E5*$B$1</f>
        <v>926.01633645355241</v>
      </c>
      <c r="F6" s="3">
        <f t="shared" si="0"/>
        <v>17502.793153670817</v>
      </c>
      <c r="G6" s="3">
        <f t="shared" si="0"/>
        <v>148606.48958153476</v>
      </c>
      <c r="H6" s="3">
        <f t="shared" si="0"/>
        <v>168629.87185330674</v>
      </c>
      <c r="I6" s="3">
        <f t="shared" si="0"/>
        <v>452085.6140102006</v>
      </c>
      <c r="J6" s="3">
        <f t="shared" si="0"/>
        <v>1047236.5807275197</v>
      </c>
      <c r="K6" s="3">
        <f t="shared" si="0"/>
        <v>1887519.3336227662</v>
      </c>
      <c r="L6" s="3">
        <f t="shared" si="0"/>
        <v>4927053.8684200151</v>
      </c>
      <c r="M6" s="3">
        <f t="shared" si="0"/>
        <v>6761943.581994744</v>
      </c>
      <c r="N6" s="3">
        <f t="shared" si="0"/>
        <v>6761943.581994744</v>
      </c>
      <c r="O6" s="3">
        <f t="shared" si="0"/>
        <v>6761943.581994744</v>
      </c>
      <c r="P6" s="3">
        <f t="shared" si="0"/>
        <v>6761943.581994744</v>
      </c>
      <c r="Q6" s="3">
        <f t="shared" si="0"/>
        <v>6761943.581994744</v>
      </c>
      <c r="R6" s="3">
        <f t="shared" ref="R6" si="1">R5*$B$1</f>
        <v>6761943.581994744</v>
      </c>
    </row>
    <row r="7" spans="1:18" x14ac:dyDescent="0.3">
      <c r="A7" s="1" t="s">
        <v>9</v>
      </c>
      <c r="B7" s="1"/>
      <c r="C7" s="3">
        <f t="shared" ref="C7:C8" si="2">NPV($B$2,D7:R7)</f>
        <v>-24079581.803183537</v>
      </c>
      <c r="D7" s="4">
        <f>0-D6</f>
        <v>-926.01633645355241</v>
      </c>
      <c r="E7" s="4">
        <f t="shared" ref="E7:R7" si="3">0-E6</f>
        <v>-926.01633645355241</v>
      </c>
      <c r="F7" s="4">
        <f t="shared" si="3"/>
        <v>-17502.793153670817</v>
      </c>
      <c r="G7" s="4">
        <f t="shared" si="3"/>
        <v>-148606.48958153476</v>
      </c>
      <c r="H7" s="4">
        <f t="shared" si="3"/>
        <v>-168629.87185330674</v>
      </c>
      <c r="I7" s="4">
        <f t="shared" si="3"/>
        <v>-452085.6140102006</v>
      </c>
      <c r="J7" s="4">
        <f t="shared" si="3"/>
        <v>-1047236.5807275197</v>
      </c>
      <c r="K7" s="4">
        <f t="shared" si="3"/>
        <v>-1887519.3336227662</v>
      </c>
      <c r="L7" s="4">
        <f t="shared" si="3"/>
        <v>-4927053.8684200151</v>
      </c>
      <c r="M7" s="4">
        <f t="shared" si="3"/>
        <v>-6761943.581994744</v>
      </c>
      <c r="N7" s="4">
        <f t="shared" si="3"/>
        <v>-6761943.581994744</v>
      </c>
      <c r="O7" s="4">
        <f t="shared" si="3"/>
        <v>-6761943.581994744</v>
      </c>
      <c r="P7" s="4">
        <f t="shared" si="3"/>
        <v>-6761943.581994744</v>
      </c>
      <c r="Q7" s="4">
        <f t="shared" si="3"/>
        <v>-6761943.581994744</v>
      </c>
      <c r="R7" s="4">
        <f t="shared" si="3"/>
        <v>-6761943.581994744</v>
      </c>
    </row>
    <row r="8" spans="1:18" x14ac:dyDescent="0.3">
      <c r="A8" s="1" t="s">
        <v>10</v>
      </c>
      <c r="B8" s="1"/>
      <c r="C8" s="3">
        <f t="shared" si="2"/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</row>
    <row r="9" spans="1:18" x14ac:dyDescent="0.3">
      <c r="A9" s="1" t="s">
        <v>11</v>
      </c>
      <c r="C9" s="4">
        <f>C7-C8</f>
        <v>-24079581.803183537</v>
      </c>
    </row>
    <row r="10" spans="1:18" s="10" customFormat="1" x14ac:dyDescent="0.3">
      <c r="A10" s="6" t="s">
        <v>34</v>
      </c>
      <c r="B10" s="11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 x14ac:dyDescent="0.3">
      <c r="A11" s="1" t="s">
        <v>38</v>
      </c>
      <c r="B11" s="1"/>
      <c r="C11" s="1"/>
      <c r="D11" s="16">
        <f>'Cost-Benefit (BASE)'!D11</f>
        <v>1.9565930029867149E-2</v>
      </c>
      <c r="E11" s="16">
        <f>'Cost-Benefit (BASE)'!E11</f>
        <v>1.9565930029867149E-2</v>
      </c>
      <c r="F11" s="16">
        <f>'Cost-Benefit (BASE)'!F11</f>
        <v>0</v>
      </c>
      <c r="G11" s="16">
        <f>'Cost-Benefit (BASE)'!G11</f>
        <v>0</v>
      </c>
      <c r="H11" s="16">
        <f>'Cost-Benefit (BASE)'!H11</f>
        <v>0</v>
      </c>
      <c r="I11" s="16">
        <f>'Cost-Benefit (BASE)'!I11</f>
        <v>4.9858744575862665E-5</v>
      </c>
      <c r="J11" s="16">
        <f>'Cost-Benefit (BASE)'!J11</f>
        <v>5.5085099351845248E-4</v>
      </c>
      <c r="K11" s="16">
        <f>'Cost-Benefit (BASE)'!K11</f>
        <v>1.25605694373247E-3</v>
      </c>
      <c r="L11" s="16">
        <f>'Cost-Benefit (BASE)'!L11</f>
        <v>2.4538227914392995E-3</v>
      </c>
      <c r="M11" s="16">
        <f>'Cost-Benefit (BASE)'!M11</f>
        <v>2.4538227914392995E-3</v>
      </c>
      <c r="N11" s="16">
        <f>'Cost-Benefit (BASE)'!N11</f>
        <v>2.4538227914392995E-3</v>
      </c>
      <c r="O11" s="16">
        <f>'Cost-Benefit (BASE)'!O11</f>
        <v>2.4538227914392995E-3</v>
      </c>
      <c r="P11" s="16">
        <f>'Cost-Benefit (BASE)'!P11</f>
        <v>2.4538227914392995E-3</v>
      </c>
      <c r="Q11" s="16">
        <f>'Cost-Benefit (BASE)'!Q11</f>
        <v>2.4538227914392995E-3</v>
      </c>
      <c r="R11" s="16">
        <f>'Cost-Benefit (BASE)'!R11</f>
        <v>2.4538227914392995E-3</v>
      </c>
    </row>
    <row r="12" spans="1:18" x14ac:dyDescent="0.3">
      <c r="A12" s="1" t="s">
        <v>0</v>
      </c>
      <c r="B12" s="1"/>
      <c r="C12" s="3">
        <f>NPV($B$2,D12:R12)</f>
        <v>2134.2353560806255</v>
      </c>
      <c r="D12" s="3">
        <f>D11*$B$1</f>
        <v>926.01633645355241</v>
      </c>
      <c r="E12" s="3">
        <f t="shared" ref="E12:R12" si="4">E11*$B$1</f>
        <v>926.01633645355241</v>
      </c>
      <c r="F12" s="3">
        <f t="shared" si="4"/>
        <v>0</v>
      </c>
      <c r="G12" s="3">
        <f t="shared" si="4"/>
        <v>0</v>
      </c>
      <c r="H12" s="3">
        <f t="shared" si="4"/>
        <v>0</v>
      </c>
      <c r="I12" s="3">
        <f t="shared" si="4"/>
        <v>2.3597146632864283</v>
      </c>
      <c r="J12" s="3">
        <f t="shared" si="4"/>
        <v>26.07067582124132</v>
      </c>
      <c r="K12" s="3">
        <f t="shared" si="4"/>
        <v>59.446663032970335</v>
      </c>
      <c r="L12" s="3">
        <f t="shared" si="4"/>
        <v>116.13452507323917</v>
      </c>
      <c r="M12" s="3">
        <f t="shared" si="4"/>
        <v>116.13452507323917</v>
      </c>
      <c r="N12" s="3">
        <f t="shared" si="4"/>
        <v>116.13452507323917</v>
      </c>
      <c r="O12" s="3">
        <f t="shared" si="4"/>
        <v>116.13452507323917</v>
      </c>
      <c r="P12" s="3">
        <f t="shared" si="4"/>
        <v>116.13452507323917</v>
      </c>
      <c r="Q12" s="3">
        <f t="shared" si="4"/>
        <v>116.13452507323917</v>
      </c>
      <c r="R12" s="3">
        <f t="shared" si="4"/>
        <v>116.13452507323917</v>
      </c>
    </row>
    <row r="13" spans="1:18" x14ac:dyDescent="0.3">
      <c r="A13" s="1" t="s">
        <v>9</v>
      </c>
      <c r="B13" s="1"/>
      <c r="C13" s="3">
        <f t="shared" ref="C13:C14" si="5">NPV($B$2,D13:R13)</f>
        <v>24077447.567827456</v>
      </c>
      <c r="D13" s="4">
        <f>D$6-D12</f>
        <v>0</v>
      </c>
      <c r="E13" s="4">
        <f t="shared" ref="E13:R13" si="6">E$6-E12</f>
        <v>0</v>
      </c>
      <c r="F13" s="4">
        <f t="shared" si="6"/>
        <v>17502.793153670817</v>
      </c>
      <c r="G13" s="4">
        <f t="shared" si="6"/>
        <v>148606.48958153476</v>
      </c>
      <c r="H13" s="4">
        <f t="shared" si="6"/>
        <v>168629.87185330674</v>
      </c>
      <c r="I13" s="4">
        <f t="shared" si="6"/>
        <v>452083.25429553731</v>
      </c>
      <c r="J13" s="4">
        <f t="shared" si="6"/>
        <v>1047210.5100516984</v>
      </c>
      <c r="K13" s="4">
        <f t="shared" si="6"/>
        <v>1887459.8869597332</v>
      </c>
      <c r="L13" s="4">
        <f t="shared" si="6"/>
        <v>4926937.7338949414</v>
      </c>
      <c r="M13" s="4">
        <f t="shared" si="6"/>
        <v>6761827.4474696703</v>
      </c>
      <c r="N13" s="4">
        <f t="shared" si="6"/>
        <v>6761827.4474696703</v>
      </c>
      <c r="O13" s="4">
        <f t="shared" si="6"/>
        <v>6761827.4474696703</v>
      </c>
      <c r="P13" s="4">
        <f t="shared" si="6"/>
        <v>6761827.4474696703</v>
      </c>
      <c r="Q13" s="4">
        <f t="shared" si="6"/>
        <v>6761827.4474696703</v>
      </c>
      <c r="R13" s="4">
        <f t="shared" si="6"/>
        <v>6761827.4474696703</v>
      </c>
    </row>
    <row r="14" spans="1:18" x14ac:dyDescent="0.3">
      <c r="A14" s="1" t="s">
        <v>10</v>
      </c>
      <c r="B14" s="1"/>
      <c r="C14" s="3">
        <f t="shared" si="5"/>
        <v>13994639.689840034</v>
      </c>
      <c r="D14" s="3">
        <f>'Option Costs'!C7</f>
        <v>0</v>
      </c>
      <c r="E14" s="3">
        <f>'Option Costs'!D7</f>
        <v>13746377.499999996</v>
      </c>
      <c r="F14" s="3">
        <f>'Option Costs'!E7</f>
        <v>211350.55406249993</v>
      </c>
      <c r="G14" s="3">
        <f>'Option Costs'!F7</f>
        <v>216634.31791406241</v>
      </c>
      <c r="H14" s="3">
        <f>'Option Costs'!G7</f>
        <v>222050.17586191394</v>
      </c>
      <c r="I14" s="3">
        <f>'Option Costs'!H7</f>
        <v>227601.43025846177</v>
      </c>
      <c r="J14" s="3">
        <f>'Option Costs'!I7</f>
        <v>233291.4660149233</v>
      </c>
      <c r="K14" s="3">
        <f>'Option Costs'!J7</f>
        <v>239123.75266529634</v>
      </c>
      <c r="L14" s="3">
        <f>'Option Costs'!K7</f>
        <v>245101.84648192872</v>
      </c>
      <c r="M14" s="3">
        <f>'Option Costs'!L7</f>
        <v>251229.39264397693</v>
      </c>
      <c r="N14" s="3">
        <f>'Option Costs'!M7</f>
        <v>257510.12746007633</v>
      </c>
      <c r="O14" s="3">
        <f>'Option Costs'!N7</f>
        <v>263947.88064657821</v>
      </c>
      <c r="P14" s="3">
        <f>'Option Costs'!O7</f>
        <v>270546.57766274264</v>
      </c>
      <c r="Q14" s="3">
        <f>'Option Costs'!P7</f>
        <v>277310.24210431118</v>
      </c>
      <c r="R14" s="3">
        <f>'Option Costs'!Q7</f>
        <v>284242.99815691891</v>
      </c>
    </row>
    <row r="15" spans="1:18" x14ac:dyDescent="0.3">
      <c r="A15" s="1" t="s">
        <v>11</v>
      </c>
      <c r="C15" s="4">
        <f>C13-C14</f>
        <v>10082807.877987422</v>
      </c>
    </row>
    <row r="16" spans="1:18" s="10" customFormat="1" x14ac:dyDescent="0.3">
      <c r="A16" s="6" t="s">
        <v>4</v>
      </c>
      <c r="B16" s="11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x14ac:dyDescent="0.3">
      <c r="A17" s="1" t="s">
        <v>38</v>
      </c>
      <c r="B17" s="1"/>
      <c r="C17" s="1"/>
      <c r="D17" s="16">
        <f>'Cost-Benefit (BASE)'!D17</f>
        <v>1.9565930029867149E-2</v>
      </c>
      <c r="E17" s="16">
        <f>'Cost-Benefit (BASE)'!E17</f>
        <v>1.9565930029867149E-2</v>
      </c>
      <c r="F17" s="16">
        <f>'Cost-Benefit (BASE)'!F17</f>
        <v>0</v>
      </c>
      <c r="G17" s="16">
        <f>'Cost-Benefit (BASE)'!G17</f>
        <v>0</v>
      </c>
      <c r="H17" s="16">
        <f>'Cost-Benefit (BASE)'!H17</f>
        <v>0</v>
      </c>
      <c r="I17" s="16">
        <f>'Cost-Benefit (BASE)'!I17</f>
        <v>0</v>
      </c>
      <c r="J17" s="16">
        <f>'Cost-Benefit (BASE)'!J17</f>
        <v>0</v>
      </c>
      <c r="K17" s="16">
        <f>'Cost-Benefit (BASE)'!K17</f>
        <v>0</v>
      </c>
      <c r="L17" s="16">
        <f>'Cost-Benefit (BASE)'!L17</f>
        <v>0</v>
      </c>
      <c r="M17" s="16">
        <f>'Cost-Benefit (BASE)'!M17</f>
        <v>0</v>
      </c>
      <c r="N17" s="16">
        <f>'Cost-Benefit (BASE)'!N17</f>
        <v>0</v>
      </c>
      <c r="O17" s="16">
        <f>'Cost-Benefit (BASE)'!O17</f>
        <v>0</v>
      </c>
      <c r="P17" s="16">
        <f>'Cost-Benefit (BASE)'!P17</f>
        <v>0</v>
      </c>
      <c r="Q17" s="16">
        <f>'Cost-Benefit (BASE)'!Q17</f>
        <v>0</v>
      </c>
      <c r="R17" s="16">
        <f>'Cost-Benefit (BASE)'!R17</f>
        <v>0</v>
      </c>
    </row>
    <row r="18" spans="1:18" x14ac:dyDescent="0.3">
      <c r="A18" s="1" t="s">
        <v>0</v>
      </c>
      <c r="B18" s="1"/>
      <c r="C18" s="3">
        <f>NPV($B$2,D18:R18)</f>
        <v>1688.9892838495762</v>
      </c>
      <c r="D18" s="3">
        <f>D17*$B$1</f>
        <v>926.01633645355241</v>
      </c>
      <c r="E18" s="3">
        <f t="shared" ref="E18:R18" si="7">E17*$B$1</f>
        <v>926.01633645355241</v>
      </c>
      <c r="F18" s="3">
        <f t="shared" si="7"/>
        <v>0</v>
      </c>
      <c r="G18" s="3">
        <f t="shared" si="7"/>
        <v>0</v>
      </c>
      <c r="H18" s="3">
        <f t="shared" si="7"/>
        <v>0</v>
      </c>
      <c r="I18" s="3">
        <f t="shared" si="7"/>
        <v>0</v>
      </c>
      <c r="J18" s="3">
        <f t="shared" si="7"/>
        <v>0</v>
      </c>
      <c r="K18" s="3">
        <f t="shared" si="7"/>
        <v>0</v>
      </c>
      <c r="L18" s="3">
        <f t="shared" si="7"/>
        <v>0</v>
      </c>
      <c r="M18" s="3">
        <f t="shared" si="7"/>
        <v>0</v>
      </c>
      <c r="N18" s="3">
        <f t="shared" si="7"/>
        <v>0</v>
      </c>
      <c r="O18" s="3">
        <f t="shared" si="7"/>
        <v>0</v>
      </c>
      <c r="P18" s="3">
        <f t="shared" si="7"/>
        <v>0</v>
      </c>
      <c r="Q18" s="3">
        <f t="shared" si="7"/>
        <v>0</v>
      </c>
      <c r="R18" s="3">
        <f t="shared" si="7"/>
        <v>0</v>
      </c>
    </row>
    <row r="19" spans="1:18" x14ac:dyDescent="0.3">
      <c r="A19" s="1" t="s">
        <v>9</v>
      </c>
      <c r="B19" s="1"/>
      <c r="C19" s="3">
        <f t="shared" ref="C19:C20" si="8">NPV($B$2,D19:R19)</f>
        <v>24077892.813899688</v>
      </c>
      <c r="D19" s="4">
        <f>D$6-D18</f>
        <v>0</v>
      </c>
      <c r="E19" s="4">
        <f t="shared" ref="E19:R19" si="9">E$6-E18</f>
        <v>0</v>
      </c>
      <c r="F19" s="4">
        <f t="shared" si="9"/>
        <v>17502.793153670817</v>
      </c>
      <c r="G19" s="4">
        <f t="shared" si="9"/>
        <v>148606.48958153476</v>
      </c>
      <c r="H19" s="4">
        <f t="shared" si="9"/>
        <v>168629.87185330674</v>
      </c>
      <c r="I19" s="4">
        <f t="shared" si="9"/>
        <v>452085.6140102006</v>
      </c>
      <c r="J19" s="4">
        <f t="shared" si="9"/>
        <v>1047236.5807275197</v>
      </c>
      <c r="K19" s="4">
        <f t="shared" si="9"/>
        <v>1887519.3336227662</v>
      </c>
      <c r="L19" s="4">
        <f t="shared" si="9"/>
        <v>4927053.8684200151</v>
      </c>
      <c r="M19" s="4">
        <f t="shared" si="9"/>
        <v>6761943.581994744</v>
      </c>
      <c r="N19" s="4">
        <f t="shared" si="9"/>
        <v>6761943.581994744</v>
      </c>
      <c r="O19" s="4">
        <f t="shared" si="9"/>
        <v>6761943.581994744</v>
      </c>
      <c r="P19" s="4">
        <f t="shared" si="9"/>
        <v>6761943.581994744</v>
      </c>
      <c r="Q19" s="4">
        <f t="shared" si="9"/>
        <v>6761943.581994744</v>
      </c>
      <c r="R19" s="4">
        <f t="shared" si="9"/>
        <v>6761943.581994744</v>
      </c>
    </row>
    <row r="20" spans="1:18" x14ac:dyDescent="0.3">
      <c r="A20" s="1" t="s">
        <v>10</v>
      </c>
      <c r="B20" s="1"/>
      <c r="C20" s="3">
        <f t="shared" si="8"/>
        <v>16446162.933745109</v>
      </c>
      <c r="D20" s="3">
        <f>'Option Costs'!C11</f>
        <v>0</v>
      </c>
      <c r="E20" s="3">
        <f>'Option Costs'!D11</f>
        <v>16154409.999999996</v>
      </c>
      <c r="F20" s="3">
        <f>'Option Costs'!E11</f>
        <v>248374.0537499999</v>
      </c>
      <c r="G20" s="3">
        <f>'Option Costs'!F11</f>
        <v>254583.40509374987</v>
      </c>
      <c r="H20" s="3">
        <f>'Option Costs'!G11</f>
        <v>260947.99022109358</v>
      </c>
      <c r="I20" s="3">
        <f>'Option Costs'!H11</f>
        <v>267471.6899766209</v>
      </c>
      <c r="J20" s="3">
        <f>'Option Costs'!I11</f>
        <v>274158.48222603637</v>
      </c>
      <c r="K20" s="3">
        <f>'Option Costs'!J11</f>
        <v>281012.44428168726</v>
      </c>
      <c r="L20" s="3">
        <f>'Option Costs'!K11</f>
        <v>288037.75538872939</v>
      </c>
      <c r="M20" s="3">
        <f>'Option Costs'!L11</f>
        <v>295238.69927344762</v>
      </c>
      <c r="N20" s="3">
        <f>'Option Costs'!M11</f>
        <v>302619.66675528378</v>
      </c>
      <c r="O20" s="3">
        <f>'Option Costs'!N11</f>
        <v>310185.15842416586</v>
      </c>
      <c r="P20" s="3">
        <f>'Option Costs'!O11</f>
        <v>317939.78738477</v>
      </c>
      <c r="Q20" s="3">
        <f>'Option Costs'!P11</f>
        <v>325889.28206938924</v>
      </c>
      <c r="R20" s="3">
        <f>'Option Costs'!Q11</f>
        <v>334037.50449612399</v>
      </c>
    </row>
    <row r="21" spans="1:18" x14ac:dyDescent="0.3">
      <c r="A21" s="1" t="s">
        <v>11</v>
      </c>
      <c r="C21" s="4">
        <f>C19-C20</f>
        <v>7631729.8801545799</v>
      </c>
    </row>
    <row r="22" spans="1:18" s="10" customFormat="1" x14ac:dyDescent="0.3">
      <c r="A22" s="6" t="s">
        <v>5</v>
      </c>
      <c r="B22" s="11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 x14ac:dyDescent="0.3">
      <c r="A23" s="1" t="s">
        <v>38</v>
      </c>
      <c r="B23" s="1"/>
      <c r="C23" s="1"/>
      <c r="D23" s="16">
        <f>'Cost-Benefit (BASE)'!D23</f>
        <v>1.9565930029867149E-2</v>
      </c>
      <c r="E23" s="16">
        <f>'Cost-Benefit (BASE)'!E23</f>
        <v>1.9565930029867149E-2</v>
      </c>
      <c r="F23" s="16">
        <f>'Cost-Benefit (BASE)'!F23</f>
        <v>47.239070088839853</v>
      </c>
      <c r="G23" s="16">
        <f>'Cost-Benefit (BASE)'!G23</f>
        <v>37.536314923755278</v>
      </c>
      <c r="H23" s="16">
        <f>'Cost-Benefit (BASE)'!H23</f>
        <v>61.795397589740404</v>
      </c>
      <c r="I23" s="16">
        <f>'Cost-Benefit (BASE)'!I23</f>
        <v>97.404100591273604</v>
      </c>
      <c r="J23" s="16">
        <f>'Cost-Benefit (BASE)'!J23</f>
        <v>121.45638633690957</v>
      </c>
      <c r="K23" s="16">
        <f>'Cost-Benefit (BASE)'!K23</f>
        <v>211.62001839967041</v>
      </c>
      <c r="L23" s="16">
        <f>'Cost-Benefit (BASE)'!L23</f>
        <v>247.63414383263287</v>
      </c>
      <c r="M23" s="16">
        <f>'Cost-Benefit (BASE)'!M23</f>
        <v>247.63414383263287</v>
      </c>
      <c r="N23" s="16">
        <f>'Cost-Benefit (BASE)'!N23</f>
        <v>247.63414383263287</v>
      </c>
      <c r="O23" s="16">
        <f>'Cost-Benefit (BASE)'!O23</f>
        <v>247.63414383263287</v>
      </c>
      <c r="P23" s="16">
        <f>'Cost-Benefit (BASE)'!P23</f>
        <v>247.63414383263287</v>
      </c>
      <c r="Q23" s="16">
        <f>'Cost-Benefit (BASE)'!Q23</f>
        <v>247.63414383263287</v>
      </c>
      <c r="R23" s="16">
        <f>'Cost-Benefit (BASE)'!R23</f>
        <v>247.63414383263287</v>
      </c>
    </row>
    <row r="24" spans="1:18" x14ac:dyDescent="0.3">
      <c r="A24" s="1" t="s">
        <v>0</v>
      </c>
      <c r="B24" s="1"/>
      <c r="C24" s="3">
        <f>NPV($B$2,D24:R24)</f>
        <v>57819984.903196827</v>
      </c>
      <c r="D24" s="3">
        <f>D23*$B$1</f>
        <v>926.01633645355241</v>
      </c>
      <c r="E24" s="3">
        <f t="shared" ref="E24:R24" si="10">E23*$B$1</f>
        <v>926.01633645355241</v>
      </c>
      <c r="F24" s="3">
        <f t="shared" si="10"/>
        <v>2235730.7091646125</v>
      </c>
      <c r="G24" s="3">
        <f t="shared" si="10"/>
        <v>1776518.7127114898</v>
      </c>
      <c r="H24" s="3">
        <f t="shared" si="10"/>
        <v>2924652.5771272336</v>
      </c>
      <c r="I24" s="3">
        <f t="shared" si="10"/>
        <v>4609941.2727837972</v>
      </c>
      <c r="J24" s="3">
        <f t="shared" si="10"/>
        <v>5748287.8525532568</v>
      </c>
      <c r="K24" s="3">
        <f t="shared" si="10"/>
        <v>10015552.230819602</v>
      </c>
      <c r="L24" s="3">
        <f t="shared" si="10"/>
        <v>11720028.759310849</v>
      </c>
      <c r="M24" s="3">
        <f t="shared" si="10"/>
        <v>11720028.759310849</v>
      </c>
      <c r="N24" s="3">
        <f t="shared" si="10"/>
        <v>11720028.759310849</v>
      </c>
      <c r="O24" s="3">
        <f t="shared" si="10"/>
        <v>11720028.759310849</v>
      </c>
      <c r="P24" s="3">
        <f t="shared" si="10"/>
        <v>11720028.759310849</v>
      </c>
      <c r="Q24" s="3">
        <f t="shared" si="10"/>
        <v>11720028.759310849</v>
      </c>
      <c r="R24" s="3">
        <f t="shared" si="10"/>
        <v>11720028.759310849</v>
      </c>
    </row>
    <row r="25" spans="1:18" x14ac:dyDescent="0.3">
      <c r="A25" s="1" t="s">
        <v>9</v>
      </c>
      <c r="B25" s="1"/>
      <c r="C25" s="3">
        <f t="shared" ref="C25:C26" si="11">NPV($B$2,D25:R25)</f>
        <v>-33740403.100013301</v>
      </c>
      <c r="D25" s="4">
        <f>D$6-D24</f>
        <v>0</v>
      </c>
      <c r="E25" s="4">
        <f t="shared" ref="E25:R25" si="12">E$6-E24</f>
        <v>0</v>
      </c>
      <c r="F25" s="4">
        <f t="shared" si="12"/>
        <v>-2218227.9160109418</v>
      </c>
      <c r="G25" s="4">
        <f t="shared" si="12"/>
        <v>-1627912.2231299551</v>
      </c>
      <c r="H25" s="4">
        <f t="shared" si="12"/>
        <v>-2756022.7052739267</v>
      </c>
      <c r="I25" s="4">
        <f t="shared" si="12"/>
        <v>-4157855.6587735964</v>
      </c>
      <c r="J25" s="4">
        <f t="shared" si="12"/>
        <v>-4701051.2718257373</v>
      </c>
      <c r="K25" s="4">
        <f t="shared" si="12"/>
        <v>-8128032.8971968349</v>
      </c>
      <c r="L25" s="4">
        <f t="shared" si="12"/>
        <v>-6792974.8908908339</v>
      </c>
      <c r="M25" s="4">
        <f t="shared" si="12"/>
        <v>-4958085.177316105</v>
      </c>
      <c r="N25" s="4">
        <f t="shared" si="12"/>
        <v>-4958085.177316105</v>
      </c>
      <c r="O25" s="4">
        <f t="shared" si="12"/>
        <v>-4958085.177316105</v>
      </c>
      <c r="P25" s="4">
        <f t="shared" si="12"/>
        <v>-4958085.177316105</v>
      </c>
      <c r="Q25" s="4">
        <f t="shared" si="12"/>
        <v>-4958085.177316105</v>
      </c>
      <c r="R25" s="4">
        <f t="shared" si="12"/>
        <v>-4958085.177316105</v>
      </c>
    </row>
    <row r="26" spans="1:18" x14ac:dyDescent="0.3">
      <c r="A26" s="1" t="s">
        <v>10</v>
      </c>
      <c r="B26" s="1"/>
      <c r="C26" s="3">
        <f t="shared" si="11"/>
        <v>6038958.7044357089</v>
      </c>
      <c r="D26" s="3">
        <f>'Option Costs'!C15</f>
        <v>0</v>
      </c>
      <c r="E26" s="3">
        <f>'Option Costs'!D15</f>
        <v>5931828.7499999981</v>
      </c>
      <c r="F26" s="3">
        <f>'Option Costs'!E15</f>
        <v>91201.86703124996</v>
      </c>
      <c r="G26" s="3">
        <f>'Option Costs'!F15</f>
        <v>93481.913707031199</v>
      </c>
      <c r="H26" s="3">
        <f>'Option Costs'!G15</f>
        <v>95818.961549706975</v>
      </c>
      <c r="I26" s="3">
        <f>'Option Costs'!H15</f>
        <v>98214.435588449647</v>
      </c>
      <c r="J26" s="3">
        <f>'Option Costs'!I15</f>
        <v>100669.79647816088</v>
      </c>
      <c r="K26" s="3">
        <f>'Option Costs'!J15</f>
        <v>103186.54139011489</v>
      </c>
      <c r="L26" s="3">
        <f>'Option Costs'!K15</f>
        <v>105766.20492486775</v>
      </c>
      <c r="M26" s="3">
        <f>'Option Costs'!L15</f>
        <v>108410.36004798944</v>
      </c>
      <c r="N26" s="3">
        <f>'Option Costs'!M15</f>
        <v>111120.61904918916</v>
      </c>
      <c r="O26" s="3">
        <f>'Option Costs'!N15</f>
        <v>113898.63452541888</v>
      </c>
      <c r="P26" s="3">
        <f>'Option Costs'!O15</f>
        <v>116746.10038855435</v>
      </c>
      <c r="Q26" s="3">
        <f>'Option Costs'!P15</f>
        <v>119664.7528982682</v>
      </c>
      <c r="R26" s="3">
        <f>'Option Costs'!Q15</f>
        <v>122656.3717207249</v>
      </c>
    </row>
    <row r="27" spans="1:18" x14ac:dyDescent="0.3">
      <c r="A27" s="1" t="s">
        <v>11</v>
      </c>
      <c r="C27" s="4">
        <f>C25-C26</f>
        <v>-39779361.804449007</v>
      </c>
    </row>
    <row r="28" spans="1:18" s="10" customFormat="1" x14ac:dyDescent="0.3">
      <c r="A28" s="6" t="s">
        <v>6</v>
      </c>
      <c r="B28" s="11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 x14ac:dyDescent="0.3">
      <c r="A29" s="1" t="s">
        <v>38</v>
      </c>
      <c r="B29" s="1"/>
      <c r="C29" s="1"/>
      <c r="D29" s="16">
        <f>'Cost-Benefit (BASE)'!D29</f>
        <v>1.9565930029867149E-2</v>
      </c>
      <c r="E29" s="16">
        <f>'Cost-Benefit (BASE)'!E29</f>
        <v>1.9565930029867149E-2</v>
      </c>
      <c r="F29" s="16">
        <f>'Cost-Benefit (BASE)'!F29</f>
        <v>0</v>
      </c>
      <c r="G29" s="16">
        <f>'Cost-Benefit (BASE)'!G29</f>
        <v>0</v>
      </c>
      <c r="H29" s="16">
        <f>'Cost-Benefit (BASE)'!H29</f>
        <v>0</v>
      </c>
      <c r="I29" s="16">
        <f>'Cost-Benefit (BASE)'!I29</f>
        <v>0</v>
      </c>
      <c r="J29" s="16">
        <f>'Cost-Benefit (BASE)'!J29</f>
        <v>0</v>
      </c>
      <c r="K29" s="16">
        <f>'Cost-Benefit (BASE)'!K29</f>
        <v>0</v>
      </c>
      <c r="L29" s="16">
        <f>'Cost-Benefit (BASE)'!L29</f>
        <v>0</v>
      </c>
      <c r="M29" s="16">
        <f>'Cost-Benefit (BASE)'!M29</f>
        <v>0</v>
      </c>
      <c r="N29" s="16">
        <f>'Cost-Benefit (BASE)'!N29</f>
        <v>0</v>
      </c>
      <c r="O29" s="16">
        <f>'Cost-Benefit (BASE)'!O29</f>
        <v>0</v>
      </c>
      <c r="P29" s="16">
        <f>'Cost-Benefit (BASE)'!P29</f>
        <v>0</v>
      </c>
      <c r="Q29" s="16">
        <f>'Cost-Benefit (BASE)'!Q29</f>
        <v>0</v>
      </c>
      <c r="R29" s="16">
        <f>'Cost-Benefit (BASE)'!R29</f>
        <v>0</v>
      </c>
    </row>
    <row r="30" spans="1:18" x14ac:dyDescent="0.3">
      <c r="A30" s="1" t="s">
        <v>0</v>
      </c>
      <c r="B30" s="1"/>
      <c r="C30" s="3">
        <f>NPV($B$2,D30:R30)</f>
        <v>1688.9892838495762</v>
      </c>
      <c r="D30" s="3">
        <f>D29*$B$1</f>
        <v>926.01633645355241</v>
      </c>
      <c r="E30" s="3">
        <f t="shared" ref="E30:R30" si="13">E29*$B$1</f>
        <v>926.01633645355241</v>
      </c>
      <c r="F30" s="3">
        <f t="shared" si="13"/>
        <v>0</v>
      </c>
      <c r="G30" s="3">
        <f t="shared" si="13"/>
        <v>0</v>
      </c>
      <c r="H30" s="3">
        <f t="shared" si="13"/>
        <v>0</v>
      </c>
      <c r="I30" s="3">
        <f t="shared" si="13"/>
        <v>0</v>
      </c>
      <c r="J30" s="3">
        <f t="shared" si="13"/>
        <v>0</v>
      </c>
      <c r="K30" s="3">
        <f t="shared" si="13"/>
        <v>0</v>
      </c>
      <c r="L30" s="3">
        <f t="shared" si="13"/>
        <v>0</v>
      </c>
      <c r="M30" s="3">
        <f t="shared" si="13"/>
        <v>0</v>
      </c>
      <c r="N30" s="3">
        <f t="shared" si="13"/>
        <v>0</v>
      </c>
      <c r="O30" s="3">
        <f t="shared" si="13"/>
        <v>0</v>
      </c>
      <c r="P30" s="3">
        <f t="shared" si="13"/>
        <v>0</v>
      </c>
      <c r="Q30" s="3">
        <f t="shared" si="13"/>
        <v>0</v>
      </c>
      <c r="R30" s="3">
        <f t="shared" si="13"/>
        <v>0</v>
      </c>
    </row>
    <row r="31" spans="1:18" x14ac:dyDescent="0.3">
      <c r="A31" s="1" t="s">
        <v>9</v>
      </c>
      <c r="B31" s="1"/>
      <c r="C31" s="3">
        <f t="shared" ref="C31:C32" si="14">NPV($B$2,D31:R31)</f>
        <v>24077892.813899688</v>
      </c>
      <c r="D31" s="4">
        <f>D$6-D30</f>
        <v>0</v>
      </c>
      <c r="E31" s="4">
        <f t="shared" ref="E31:R31" si="15">E$6-E30</f>
        <v>0</v>
      </c>
      <c r="F31" s="4">
        <f t="shared" si="15"/>
        <v>17502.793153670817</v>
      </c>
      <c r="G31" s="4">
        <f t="shared" si="15"/>
        <v>148606.48958153476</v>
      </c>
      <c r="H31" s="4">
        <f t="shared" si="15"/>
        <v>168629.87185330674</v>
      </c>
      <c r="I31" s="4">
        <f t="shared" si="15"/>
        <v>452085.6140102006</v>
      </c>
      <c r="J31" s="4">
        <f t="shared" si="15"/>
        <v>1047236.5807275197</v>
      </c>
      <c r="K31" s="4">
        <f t="shared" si="15"/>
        <v>1887519.3336227662</v>
      </c>
      <c r="L31" s="4">
        <f t="shared" si="15"/>
        <v>4927053.8684200151</v>
      </c>
      <c r="M31" s="4">
        <f t="shared" si="15"/>
        <v>6761943.581994744</v>
      </c>
      <c r="N31" s="4">
        <f t="shared" si="15"/>
        <v>6761943.581994744</v>
      </c>
      <c r="O31" s="4">
        <f t="shared" si="15"/>
        <v>6761943.581994744</v>
      </c>
      <c r="P31" s="4">
        <f t="shared" si="15"/>
        <v>6761943.581994744</v>
      </c>
      <c r="Q31" s="4">
        <f t="shared" si="15"/>
        <v>6761943.581994744</v>
      </c>
      <c r="R31" s="4">
        <f t="shared" si="15"/>
        <v>6761943.581994744</v>
      </c>
    </row>
    <row r="32" spans="1:18" x14ac:dyDescent="0.3">
      <c r="A32" s="1" t="s">
        <v>10</v>
      </c>
      <c r="B32" s="1"/>
      <c r="C32" s="3">
        <f t="shared" si="14"/>
        <v>11156992.250437282</v>
      </c>
      <c r="D32" s="3">
        <f>'Option Costs'!C19</f>
        <v>0</v>
      </c>
      <c r="E32" s="3">
        <f>'Option Costs'!D19</f>
        <v>10959069.374999998</v>
      </c>
      <c r="F32" s="3">
        <f>'Option Costs'!E19</f>
        <v>168495.69164062495</v>
      </c>
      <c r="G32" s="3">
        <f>'Option Costs'!F19</f>
        <v>172708.08393164055</v>
      </c>
      <c r="H32" s="3">
        <f>'Option Costs'!G19</f>
        <v>177025.78602993154</v>
      </c>
      <c r="I32" s="3">
        <f>'Option Costs'!H19</f>
        <v>181451.4306806798</v>
      </c>
      <c r="J32" s="3">
        <f>'Option Costs'!I19</f>
        <v>185987.71644769679</v>
      </c>
      <c r="K32" s="3">
        <f>'Option Costs'!J19</f>
        <v>190637.40935888918</v>
      </c>
      <c r="L32" s="3">
        <f>'Option Costs'!K19</f>
        <v>195403.34459286139</v>
      </c>
      <c r="M32" s="3">
        <f>'Option Costs'!L19</f>
        <v>200288.42820768291</v>
      </c>
      <c r="N32" s="3">
        <f>'Option Costs'!M19</f>
        <v>205295.63891287497</v>
      </c>
      <c r="O32" s="3">
        <f>'Option Costs'!N19</f>
        <v>210428.02988569683</v>
      </c>
      <c r="P32" s="3">
        <f>'Option Costs'!O19</f>
        <v>215688.73063283923</v>
      </c>
      <c r="Q32" s="3">
        <f>'Option Costs'!P19</f>
        <v>221080.94889866019</v>
      </c>
      <c r="R32" s="3">
        <f>'Option Costs'!Q19</f>
        <v>226607.97262112668</v>
      </c>
    </row>
    <row r="33" spans="1:18" x14ac:dyDescent="0.3">
      <c r="A33" s="1" t="s">
        <v>11</v>
      </c>
      <c r="C33" s="4">
        <f>C31-C32</f>
        <v>12920900.563462406</v>
      </c>
    </row>
    <row r="34" spans="1:18" s="10" customFormat="1" x14ac:dyDescent="0.3">
      <c r="A34" s="6"/>
      <c r="B34" s="11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1:18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x14ac:dyDescent="0.3">
      <c r="A36" s="1"/>
      <c r="B36" s="1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x14ac:dyDescent="0.3">
      <c r="A37" s="1"/>
      <c r="C37" s="3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x14ac:dyDescent="0.3">
      <c r="A38" s="1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x14ac:dyDescent="0.3">
      <c r="A39" s="1"/>
      <c r="C39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zoomScaleNormal="100" workbookViewId="0">
      <pane xSplit="3" ySplit="3" topLeftCell="D4" activePane="bottomRight" state="frozen"/>
      <selection pane="topRight" activeCell="F1" sqref="F1"/>
      <selection pane="bottomLeft" activeCell="A4" sqref="A4"/>
      <selection pane="bottomRight" activeCell="G9" sqref="G9"/>
    </sheetView>
  </sheetViews>
  <sheetFormatPr defaultRowHeight="14.4" x14ac:dyDescent="0.3"/>
  <cols>
    <col min="1" max="1" width="23.88671875" bestFit="1" customWidth="1"/>
    <col min="2" max="2" width="11.44140625" bestFit="1" customWidth="1"/>
    <col min="3" max="3" width="25.6640625" bestFit="1" customWidth="1"/>
    <col min="4" max="4" width="12" bestFit="1" customWidth="1"/>
    <col min="5" max="5" width="12.44140625" bestFit="1" customWidth="1"/>
    <col min="6" max="6" width="13.109375" bestFit="1" customWidth="1"/>
    <col min="7" max="7" width="12.88671875" bestFit="1" customWidth="1"/>
    <col min="8" max="9" width="13.109375" bestFit="1" customWidth="1"/>
    <col min="10" max="11" width="13.5546875" bestFit="1" customWidth="1"/>
    <col min="12" max="12" width="13.109375" bestFit="1" customWidth="1"/>
    <col min="13" max="18" width="13.5546875" bestFit="1" customWidth="1"/>
  </cols>
  <sheetData>
    <row r="1" spans="1:18" s="10" customFormat="1" x14ac:dyDescent="0.3">
      <c r="A1" s="19" t="s">
        <v>12</v>
      </c>
      <c r="B1" s="20">
        <f>'Cost-Benefit (BASE)'!$B$1*0.8</f>
        <v>31552</v>
      </c>
      <c r="C1" s="17"/>
      <c r="D1" s="18">
        <v>2018</v>
      </c>
      <c r="E1" s="18">
        <v>2019</v>
      </c>
      <c r="F1" s="18">
        <v>2020</v>
      </c>
      <c r="G1" s="18">
        <v>2021</v>
      </c>
      <c r="H1" s="18">
        <v>2022</v>
      </c>
      <c r="I1" s="18">
        <v>2023</v>
      </c>
      <c r="J1" s="18">
        <v>2024</v>
      </c>
      <c r="K1" s="18">
        <v>2025</v>
      </c>
      <c r="L1" s="18">
        <v>2026</v>
      </c>
      <c r="M1" s="18">
        <v>2027</v>
      </c>
      <c r="N1" s="18">
        <v>2028</v>
      </c>
      <c r="O1" s="18">
        <v>2029</v>
      </c>
      <c r="P1" s="18">
        <v>2030</v>
      </c>
      <c r="Q1" s="18">
        <v>2031</v>
      </c>
      <c r="R1" s="18">
        <v>2032</v>
      </c>
    </row>
    <row r="2" spans="1:18" x14ac:dyDescent="0.3">
      <c r="A2" s="1" t="s">
        <v>3</v>
      </c>
      <c r="B2" s="14">
        <v>6.3700000000000007E-2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x14ac:dyDescent="0.3">
      <c r="A3" s="15" t="s">
        <v>39</v>
      </c>
      <c r="B3" s="15" t="s">
        <v>40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s="10" customFormat="1" x14ac:dyDescent="0.3">
      <c r="A4" s="6" t="s">
        <v>8</v>
      </c>
      <c r="B4" s="11"/>
      <c r="C4" s="7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x14ac:dyDescent="0.3">
      <c r="A5" s="1" t="s">
        <v>38</v>
      </c>
      <c r="B5" s="1"/>
      <c r="C5" s="1"/>
      <c r="D5" s="16">
        <f>'Cost-Benefit (BASE)'!D5</f>
        <v>1.9565930029867149E-2</v>
      </c>
      <c r="E5" s="16">
        <f>'Cost-Benefit (BASE)'!E5</f>
        <v>1.9565930029867149E-2</v>
      </c>
      <c r="F5" s="16">
        <f>'Cost-Benefit (BASE)'!F5</f>
        <v>0.36981898989331508</v>
      </c>
      <c r="G5" s="16">
        <f>'Cost-Benefit (BASE)'!G5</f>
        <v>3.1399275182034896</v>
      </c>
      <c r="H5" s="16">
        <f>'Cost-Benefit (BASE)'!H5</f>
        <v>3.5630043917618903</v>
      </c>
      <c r="I5" s="16">
        <f>'Cost-Benefit (BASE)'!I5</f>
        <v>9.552180823406875</v>
      </c>
      <c r="J5" s="16">
        <f>'Cost-Benefit (BASE)'!J5</f>
        <v>22.127209700970244</v>
      </c>
      <c r="K5" s="16">
        <f>'Cost-Benefit (BASE)'!K5</f>
        <v>39.881662728675757</v>
      </c>
      <c r="L5" s="16">
        <f>'Cost-Benefit (BASE)'!L5</f>
        <v>104.1044174361903</v>
      </c>
      <c r="M5" s="16">
        <f>'Cost-Benefit (BASE)'!M5</f>
        <v>142.87406148569016</v>
      </c>
      <c r="N5" s="16">
        <f>'Cost-Benefit (BASE)'!N5</f>
        <v>142.87406148569016</v>
      </c>
      <c r="O5" s="16">
        <f>'Cost-Benefit (BASE)'!O5</f>
        <v>142.87406148569016</v>
      </c>
      <c r="P5" s="16">
        <f>'Cost-Benefit (BASE)'!P5</f>
        <v>142.87406148569016</v>
      </c>
      <c r="Q5" s="16">
        <f>'Cost-Benefit (BASE)'!Q5</f>
        <v>142.87406148569016</v>
      </c>
      <c r="R5" s="16">
        <f>'Cost-Benefit (BASE)'!R5</f>
        <v>142.87406148569016</v>
      </c>
    </row>
    <row r="6" spans="1:18" x14ac:dyDescent="0.3">
      <c r="A6" s="1" t="s">
        <v>0</v>
      </c>
      <c r="B6" s="1"/>
      <c r="C6" s="3">
        <f>NPV($B$2,D6:R6)</f>
        <v>16053054.535455687</v>
      </c>
      <c r="D6" s="3">
        <f>D5*$B$1</f>
        <v>617.34422430236827</v>
      </c>
      <c r="E6" s="3">
        <f t="shared" ref="E6:R6" si="0">E5*$B$1</f>
        <v>617.34422430236827</v>
      </c>
      <c r="F6" s="3">
        <f t="shared" si="0"/>
        <v>11668.528769113876</v>
      </c>
      <c r="G6" s="3">
        <f t="shared" si="0"/>
        <v>99070.993054356499</v>
      </c>
      <c r="H6" s="3">
        <f t="shared" si="0"/>
        <v>112419.91456887116</v>
      </c>
      <c r="I6" s="3">
        <f t="shared" si="0"/>
        <v>301390.40934013372</v>
      </c>
      <c r="J6" s="3">
        <f t="shared" si="0"/>
        <v>698157.72048501309</v>
      </c>
      <c r="K6" s="3">
        <f t="shared" si="0"/>
        <v>1258346.2224151774</v>
      </c>
      <c r="L6" s="3">
        <f t="shared" si="0"/>
        <v>3284702.5789466766</v>
      </c>
      <c r="M6" s="3">
        <f t="shared" si="0"/>
        <v>4507962.3879964957</v>
      </c>
      <c r="N6" s="3">
        <f t="shared" si="0"/>
        <v>4507962.3879964957</v>
      </c>
      <c r="O6" s="3">
        <f t="shared" si="0"/>
        <v>4507962.3879964957</v>
      </c>
      <c r="P6" s="3">
        <f t="shared" si="0"/>
        <v>4507962.3879964957</v>
      </c>
      <c r="Q6" s="3">
        <f t="shared" si="0"/>
        <v>4507962.3879964957</v>
      </c>
      <c r="R6" s="3">
        <f t="shared" si="0"/>
        <v>4507962.3879964957</v>
      </c>
    </row>
    <row r="7" spans="1:18" x14ac:dyDescent="0.3">
      <c r="A7" s="1" t="s">
        <v>9</v>
      </c>
      <c r="B7" s="1"/>
      <c r="C7" s="3">
        <f t="shared" ref="C7:C8" si="1">NPV($B$2,D7:R7)</f>
        <v>-16053054.535455687</v>
      </c>
      <c r="D7" s="4">
        <f>0-D6</f>
        <v>-617.34422430236827</v>
      </c>
      <c r="E7" s="4">
        <f t="shared" ref="E7:R7" si="2">0-E6</f>
        <v>-617.34422430236827</v>
      </c>
      <c r="F7" s="4">
        <f t="shared" si="2"/>
        <v>-11668.528769113876</v>
      </c>
      <c r="G7" s="4">
        <f t="shared" si="2"/>
        <v>-99070.993054356499</v>
      </c>
      <c r="H7" s="4">
        <f t="shared" si="2"/>
        <v>-112419.91456887116</v>
      </c>
      <c r="I7" s="4">
        <f t="shared" si="2"/>
        <v>-301390.40934013372</v>
      </c>
      <c r="J7" s="4">
        <f t="shared" si="2"/>
        <v>-698157.72048501309</v>
      </c>
      <c r="K7" s="4">
        <f t="shared" si="2"/>
        <v>-1258346.2224151774</v>
      </c>
      <c r="L7" s="4">
        <f t="shared" si="2"/>
        <v>-3284702.5789466766</v>
      </c>
      <c r="M7" s="4">
        <f t="shared" si="2"/>
        <v>-4507962.3879964957</v>
      </c>
      <c r="N7" s="4">
        <f t="shared" si="2"/>
        <v>-4507962.3879964957</v>
      </c>
      <c r="O7" s="4">
        <f t="shared" si="2"/>
        <v>-4507962.3879964957</v>
      </c>
      <c r="P7" s="4">
        <f t="shared" si="2"/>
        <v>-4507962.3879964957</v>
      </c>
      <c r="Q7" s="4">
        <f t="shared" si="2"/>
        <v>-4507962.3879964957</v>
      </c>
      <c r="R7" s="4">
        <f t="shared" si="2"/>
        <v>-4507962.3879964957</v>
      </c>
    </row>
    <row r="8" spans="1:18" x14ac:dyDescent="0.3">
      <c r="A8" s="1" t="s">
        <v>10</v>
      </c>
      <c r="B8" s="1"/>
      <c r="C8" s="3">
        <f t="shared" si="1"/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</row>
    <row r="9" spans="1:18" x14ac:dyDescent="0.3">
      <c r="A9" s="1" t="s">
        <v>11</v>
      </c>
      <c r="C9" s="4">
        <f>C7-C8</f>
        <v>-16053054.535455687</v>
      </c>
    </row>
    <row r="10" spans="1:18" s="10" customFormat="1" x14ac:dyDescent="0.3">
      <c r="A10" s="6" t="s">
        <v>34</v>
      </c>
      <c r="B10" s="11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 x14ac:dyDescent="0.3">
      <c r="A11" s="1" t="s">
        <v>38</v>
      </c>
      <c r="B11" s="1"/>
      <c r="C11" s="1"/>
      <c r="D11" s="16">
        <f>'Cost-Benefit (BASE)'!D11</f>
        <v>1.9565930029867149E-2</v>
      </c>
      <c r="E11" s="16">
        <f>'Cost-Benefit (BASE)'!E11</f>
        <v>1.9565930029867149E-2</v>
      </c>
      <c r="F11" s="16">
        <f>'Cost-Benefit (BASE)'!F11</f>
        <v>0</v>
      </c>
      <c r="G11" s="16">
        <f>'Cost-Benefit (BASE)'!G11</f>
        <v>0</v>
      </c>
      <c r="H11" s="16">
        <f>'Cost-Benefit (BASE)'!H11</f>
        <v>0</v>
      </c>
      <c r="I11" s="16">
        <f>'Cost-Benefit (BASE)'!I11</f>
        <v>4.9858744575862665E-5</v>
      </c>
      <c r="J11" s="16">
        <f>'Cost-Benefit (BASE)'!J11</f>
        <v>5.5085099351845248E-4</v>
      </c>
      <c r="K11" s="16">
        <f>'Cost-Benefit (BASE)'!K11</f>
        <v>1.25605694373247E-3</v>
      </c>
      <c r="L11" s="16">
        <f>'Cost-Benefit (BASE)'!L11</f>
        <v>2.4538227914392995E-3</v>
      </c>
      <c r="M11" s="16">
        <f>'Cost-Benefit (BASE)'!M11</f>
        <v>2.4538227914392995E-3</v>
      </c>
      <c r="N11" s="16">
        <f>'Cost-Benefit (BASE)'!N11</f>
        <v>2.4538227914392995E-3</v>
      </c>
      <c r="O11" s="16">
        <f>'Cost-Benefit (BASE)'!O11</f>
        <v>2.4538227914392995E-3</v>
      </c>
      <c r="P11" s="16">
        <f>'Cost-Benefit (BASE)'!P11</f>
        <v>2.4538227914392995E-3</v>
      </c>
      <c r="Q11" s="16">
        <f>'Cost-Benefit (BASE)'!Q11</f>
        <v>2.4538227914392995E-3</v>
      </c>
      <c r="R11" s="16">
        <f>'Cost-Benefit (BASE)'!R11</f>
        <v>2.4538227914392995E-3</v>
      </c>
    </row>
    <row r="12" spans="1:18" x14ac:dyDescent="0.3">
      <c r="A12" s="1" t="s">
        <v>0</v>
      </c>
      <c r="B12" s="1"/>
      <c r="C12" s="3">
        <f>NPV($B$2,D12:R12)</f>
        <v>1422.8235707204174</v>
      </c>
      <c r="D12" s="3">
        <f>D11*$B$1</f>
        <v>617.34422430236827</v>
      </c>
      <c r="E12" s="3">
        <f t="shared" ref="E12:R12" si="3">E11*$B$1</f>
        <v>617.34422430236827</v>
      </c>
      <c r="F12" s="3">
        <f t="shared" si="3"/>
        <v>0</v>
      </c>
      <c r="G12" s="3">
        <f t="shared" si="3"/>
        <v>0</v>
      </c>
      <c r="H12" s="3">
        <f t="shared" si="3"/>
        <v>0</v>
      </c>
      <c r="I12" s="3">
        <f t="shared" si="3"/>
        <v>1.5731431088576189</v>
      </c>
      <c r="J12" s="3">
        <f t="shared" si="3"/>
        <v>17.380450547494213</v>
      </c>
      <c r="K12" s="3">
        <f t="shared" si="3"/>
        <v>39.63110868864689</v>
      </c>
      <c r="L12" s="3">
        <f t="shared" si="3"/>
        <v>77.423016715492778</v>
      </c>
      <c r="M12" s="3">
        <f t="shared" si="3"/>
        <v>77.423016715492778</v>
      </c>
      <c r="N12" s="3">
        <f t="shared" si="3"/>
        <v>77.423016715492778</v>
      </c>
      <c r="O12" s="3">
        <f t="shared" si="3"/>
        <v>77.423016715492778</v>
      </c>
      <c r="P12" s="3">
        <f t="shared" si="3"/>
        <v>77.423016715492778</v>
      </c>
      <c r="Q12" s="3">
        <f t="shared" si="3"/>
        <v>77.423016715492778</v>
      </c>
      <c r="R12" s="3">
        <f t="shared" si="3"/>
        <v>77.423016715492778</v>
      </c>
    </row>
    <row r="13" spans="1:18" x14ac:dyDescent="0.3">
      <c r="A13" s="1" t="s">
        <v>9</v>
      </c>
      <c r="B13" s="1"/>
      <c r="C13" s="3">
        <f t="shared" ref="C13:C14" si="4">NPV($B$2,D13:R13)</f>
        <v>16051631.711884968</v>
      </c>
      <c r="D13" s="4">
        <f>D$6-D12</f>
        <v>0</v>
      </c>
      <c r="E13" s="4">
        <f t="shared" ref="E13:R13" si="5">E$6-E12</f>
        <v>0</v>
      </c>
      <c r="F13" s="4">
        <f t="shared" si="5"/>
        <v>11668.528769113876</v>
      </c>
      <c r="G13" s="4">
        <f t="shared" si="5"/>
        <v>99070.993054356499</v>
      </c>
      <c r="H13" s="4">
        <f t="shared" si="5"/>
        <v>112419.91456887116</v>
      </c>
      <c r="I13" s="4">
        <f t="shared" si="5"/>
        <v>301388.83619702485</v>
      </c>
      <c r="J13" s="4">
        <f t="shared" si="5"/>
        <v>698140.34003446565</v>
      </c>
      <c r="K13" s="4">
        <f t="shared" si="5"/>
        <v>1258306.5913064887</v>
      </c>
      <c r="L13" s="4">
        <f t="shared" si="5"/>
        <v>3284625.1559299612</v>
      </c>
      <c r="M13" s="4">
        <f t="shared" si="5"/>
        <v>4507884.9649797799</v>
      </c>
      <c r="N13" s="4">
        <f t="shared" si="5"/>
        <v>4507884.9649797799</v>
      </c>
      <c r="O13" s="4">
        <f t="shared" si="5"/>
        <v>4507884.9649797799</v>
      </c>
      <c r="P13" s="4">
        <f t="shared" si="5"/>
        <v>4507884.9649797799</v>
      </c>
      <c r="Q13" s="4">
        <f t="shared" si="5"/>
        <v>4507884.9649797799</v>
      </c>
      <c r="R13" s="4">
        <f t="shared" si="5"/>
        <v>4507884.9649797799</v>
      </c>
    </row>
    <row r="14" spans="1:18" x14ac:dyDescent="0.3">
      <c r="A14" s="1" t="s">
        <v>10</v>
      </c>
      <c r="B14" s="1"/>
      <c r="C14" s="3">
        <f t="shared" si="4"/>
        <v>13994639.689840034</v>
      </c>
      <c r="D14" s="3">
        <f>'Option Costs'!C7</f>
        <v>0</v>
      </c>
      <c r="E14" s="3">
        <f>'Option Costs'!D7</f>
        <v>13746377.499999996</v>
      </c>
      <c r="F14" s="3">
        <f>'Option Costs'!E7</f>
        <v>211350.55406249993</v>
      </c>
      <c r="G14" s="3">
        <f>'Option Costs'!F7</f>
        <v>216634.31791406241</v>
      </c>
      <c r="H14" s="3">
        <f>'Option Costs'!G7</f>
        <v>222050.17586191394</v>
      </c>
      <c r="I14" s="3">
        <f>'Option Costs'!H7</f>
        <v>227601.43025846177</v>
      </c>
      <c r="J14" s="3">
        <f>'Option Costs'!I7</f>
        <v>233291.4660149233</v>
      </c>
      <c r="K14" s="3">
        <f>'Option Costs'!J7</f>
        <v>239123.75266529634</v>
      </c>
      <c r="L14" s="3">
        <f>'Option Costs'!K7</f>
        <v>245101.84648192872</v>
      </c>
      <c r="M14" s="3">
        <f>'Option Costs'!L7</f>
        <v>251229.39264397693</v>
      </c>
      <c r="N14" s="3">
        <f>'Option Costs'!M7</f>
        <v>257510.12746007633</v>
      </c>
      <c r="O14" s="3">
        <f>'Option Costs'!N7</f>
        <v>263947.88064657821</v>
      </c>
      <c r="P14" s="3">
        <f>'Option Costs'!O7</f>
        <v>270546.57766274264</v>
      </c>
      <c r="Q14" s="3">
        <f>'Option Costs'!P7</f>
        <v>277310.24210431118</v>
      </c>
      <c r="R14" s="3">
        <f>'Option Costs'!Q7</f>
        <v>284242.99815691891</v>
      </c>
    </row>
    <row r="15" spans="1:18" x14ac:dyDescent="0.3">
      <c r="A15" s="1" t="s">
        <v>11</v>
      </c>
      <c r="C15" s="4">
        <f>C13-C14</f>
        <v>2056992.0220449343</v>
      </c>
    </row>
    <row r="16" spans="1:18" s="10" customFormat="1" x14ac:dyDescent="0.3">
      <c r="A16" s="6" t="s">
        <v>4</v>
      </c>
      <c r="B16" s="11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x14ac:dyDescent="0.3">
      <c r="A17" s="1" t="s">
        <v>38</v>
      </c>
      <c r="B17" s="1"/>
      <c r="C17" s="1"/>
      <c r="D17" s="16">
        <f>'Cost-Benefit (BASE)'!D17</f>
        <v>1.9565930029867149E-2</v>
      </c>
      <c r="E17" s="16">
        <f>'Cost-Benefit (BASE)'!E17</f>
        <v>1.9565930029867149E-2</v>
      </c>
      <c r="F17" s="16">
        <f>'Cost-Benefit (BASE)'!F17</f>
        <v>0</v>
      </c>
      <c r="G17" s="16">
        <f>'Cost-Benefit (BASE)'!G17</f>
        <v>0</v>
      </c>
      <c r="H17" s="16">
        <f>'Cost-Benefit (BASE)'!H17</f>
        <v>0</v>
      </c>
      <c r="I17" s="16">
        <f>'Cost-Benefit (BASE)'!I17</f>
        <v>0</v>
      </c>
      <c r="J17" s="16">
        <f>'Cost-Benefit (BASE)'!J17</f>
        <v>0</v>
      </c>
      <c r="K17" s="16">
        <f>'Cost-Benefit (BASE)'!K17</f>
        <v>0</v>
      </c>
      <c r="L17" s="16">
        <f>'Cost-Benefit (BASE)'!L17</f>
        <v>0</v>
      </c>
      <c r="M17" s="16">
        <f>'Cost-Benefit (BASE)'!M17</f>
        <v>0</v>
      </c>
      <c r="N17" s="16">
        <f>'Cost-Benefit (BASE)'!N17</f>
        <v>0</v>
      </c>
      <c r="O17" s="16">
        <f>'Cost-Benefit (BASE)'!O17</f>
        <v>0</v>
      </c>
      <c r="P17" s="16">
        <f>'Cost-Benefit (BASE)'!P17</f>
        <v>0</v>
      </c>
      <c r="Q17" s="16">
        <f>'Cost-Benefit (BASE)'!Q17</f>
        <v>0</v>
      </c>
      <c r="R17" s="16">
        <f>'Cost-Benefit (BASE)'!R17</f>
        <v>0</v>
      </c>
    </row>
    <row r="18" spans="1:18" x14ac:dyDescent="0.3">
      <c r="A18" s="1" t="s">
        <v>0</v>
      </c>
      <c r="B18" s="1"/>
      <c r="C18" s="3">
        <f>NPV($B$2,D18:R18)</f>
        <v>1125.9928558997176</v>
      </c>
      <c r="D18" s="3">
        <f>D17*$B$1</f>
        <v>617.34422430236827</v>
      </c>
      <c r="E18" s="3">
        <f t="shared" ref="E18:R18" si="6">E17*$B$1</f>
        <v>617.34422430236827</v>
      </c>
      <c r="F18" s="3">
        <f t="shared" si="6"/>
        <v>0</v>
      </c>
      <c r="G18" s="3">
        <f t="shared" si="6"/>
        <v>0</v>
      </c>
      <c r="H18" s="3">
        <f t="shared" si="6"/>
        <v>0</v>
      </c>
      <c r="I18" s="3">
        <f t="shared" si="6"/>
        <v>0</v>
      </c>
      <c r="J18" s="3">
        <f t="shared" si="6"/>
        <v>0</v>
      </c>
      <c r="K18" s="3">
        <f t="shared" si="6"/>
        <v>0</v>
      </c>
      <c r="L18" s="3">
        <f t="shared" si="6"/>
        <v>0</v>
      </c>
      <c r="M18" s="3">
        <f t="shared" si="6"/>
        <v>0</v>
      </c>
      <c r="N18" s="3">
        <f t="shared" si="6"/>
        <v>0</v>
      </c>
      <c r="O18" s="3">
        <f t="shared" si="6"/>
        <v>0</v>
      </c>
      <c r="P18" s="3">
        <f t="shared" si="6"/>
        <v>0</v>
      </c>
      <c r="Q18" s="3">
        <f t="shared" si="6"/>
        <v>0</v>
      </c>
      <c r="R18" s="3">
        <f t="shared" si="6"/>
        <v>0</v>
      </c>
    </row>
    <row r="19" spans="1:18" x14ac:dyDescent="0.3">
      <c r="A19" s="1" t="s">
        <v>9</v>
      </c>
      <c r="B19" s="1"/>
      <c r="C19" s="3">
        <f t="shared" ref="C19:C20" si="7">NPV($B$2,D19:R19)</f>
        <v>16051928.542599786</v>
      </c>
      <c r="D19" s="4">
        <f>D$6-D18</f>
        <v>0</v>
      </c>
      <c r="E19" s="4">
        <f t="shared" ref="E19:R19" si="8">E$6-E18</f>
        <v>0</v>
      </c>
      <c r="F19" s="4">
        <f t="shared" si="8"/>
        <v>11668.528769113876</v>
      </c>
      <c r="G19" s="4">
        <f t="shared" si="8"/>
        <v>99070.993054356499</v>
      </c>
      <c r="H19" s="4">
        <f t="shared" si="8"/>
        <v>112419.91456887116</v>
      </c>
      <c r="I19" s="4">
        <f t="shared" si="8"/>
        <v>301390.40934013372</v>
      </c>
      <c r="J19" s="4">
        <f t="shared" si="8"/>
        <v>698157.72048501309</v>
      </c>
      <c r="K19" s="4">
        <f t="shared" si="8"/>
        <v>1258346.2224151774</v>
      </c>
      <c r="L19" s="4">
        <f t="shared" si="8"/>
        <v>3284702.5789466766</v>
      </c>
      <c r="M19" s="4">
        <f t="shared" si="8"/>
        <v>4507962.3879964957</v>
      </c>
      <c r="N19" s="4">
        <f t="shared" si="8"/>
        <v>4507962.3879964957</v>
      </c>
      <c r="O19" s="4">
        <f t="shared" si="8"/>
        <v>4507962.3879964957</v>
      </c>
      <c r="P19" s="4">
        <f t="shared" si="8"/>
        <v>4507962.3879964957</v>
      </c>
      <c r="Q19" s="4">
        <f t="shared" si="8"/>
        <v>4507962.3879964957</v>
      </c>
      <c r="R19" s="4">
        <f t="shared" si="8"/>
        <v>4507962.3879964957</v>
      </c>
    </row>
    <row r="20" spans="1:18" x14ac:dyDescent="0.3">
      <c r="A20" s="1" t="s">
        <v>10</v>
      </c>
      <c r="B20" s="1"/>
      <c r="C20" s="3">
        <f t="shared" si="7"/>
        <v>16446162.933745109</v>
      </c>
      <c r="D20" s="3">
        <f>'Option Costs'!C11</f>
        <v>0</v>
      </c>
      <c r="E20" s="3">
        <f>'Option Costs'!D11</f>
        <v>16154409.999999996</v>
      </c>
      <c r="F20" s="3">
        <f>'Option Costs'!E11</f>
        <v>248374.0537499999</v>
      </c>
      <c r="G20" s="3">
        <f>'Option Costs'!F11</f>
        <v>254583.40509374987</v>
      </c>
      <c r="H20" s="3">
        <f>'Option Costs'!G11</f>
        <v>260947.99022109358</v>
      </c>
      <c r="I20" s="3">
        <f>'Option Costs'!H11</f>
        <v>267471.6899766209</v>
      </c>
      <c r="J20" s="3">
        <f>'Option Costs'!I11</f>
        <v>274158.48222603637</v>
      </c>
      <c r="K20" s="3">
        <f>'Option Costs'!J11</f>
        <v>281012.44428168726</v>
      </c>
      <c r="L20" s="3">
        <f>'Option Costs'!K11</f>
        <v>288037.75538872939</v>
      </c>
      <c r="M20" s="3">
        <f>'Option Costs'!L11</f>
        <v>295238.69927344762</v>
      </c>
      <c r="N20" s="3">
        <f>'Option Costs'!M11</f>
        <v>302619.66675528378</v>
      </c>
      <c r="O20" s="3">
        <f>'Option Costs'!N11</f>
        <v>310185.15842416586</v>
      </c>
      <c r="P20" s="3">
        <f>'Option Costs'!O11</f>
        <v>317939.78738477</v>
      </c>
      <c r="Q20" s="3">
        <f>'Option Costs'!P11</f>
        <v>325889.28206938924</v>
      </c>
      <c r="R20" s="3">
        <f>'Option Costs'!Q11</f>
        <v>334037.50449612399</v>
      </c>
    </row>
    <row r="21" spans="1:18" x14ac:dyDescent="0.3">
      <c r="A21" s="1" t="s">
        <v>11</v>
      </c>
      <c r="C21" s="4">
        <f>C19-C20</f>
        <v>-394234.39114532247</v>
      </c>
    </row>
    <row r="22" spans="1:18" s="10" customFormat="1" x14ac:dyDescent="0.3">
      <c r="A22" s="6" t="s">
        <v>5</v>
      </c>
      <c r="B22" s="11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 x14ac:dyDescent="0.3">
      <c r="A23" s="1" t="s">
        <v>38</v>
      </c>
      <c r="B23" s="1"/>
      <c r="C23" s="1"/>
      <c r="D23" s="16">
        <f>'Cost-Benefit (BASE)'!D23</f>
        <v>1.9565930029867149E-2</v>
      </c>
      <c r="E23" s="16">
        <f>'Cost-Benefit (BASE)'!E23</f>
        <v>1.9565930029867149E-2</v>
      </c>
      <c r="F23" s="16">
        <f>'Cost-Benefit (BASE)'!F23</f>
        <v>47.239070088839853</v>
      </c>
      <c r="G23" s="16">
        <f>'Cost-Benefit (BASE)'!G23</f>
        <v>37.536314923755278</v>
      </c>
      <c r="H23" s="16">
        <f>'Cost-Benefit (BASE)'!H23</f>
        <v>61.795397589740404</v>
      </c>
      <c r="I23" s="16">
        <f>'Cost-Benefit (BASE)'!I23</f>
        <v>97.404100591273604</v>
      </c>
      <c r="J23" s="16">
        <f>'Cost-Benefit (BASE)'!J23</f>
        <v>121.45638633690957</v>
      </c>
      <c r="K23" s="16">
        <f>'Cost-Benefit (BASE)'!K23</f>
        <v>211.62001839967041</v>
      </c>
      <c r="L23" s="16">
        <f>'Cost-Benefit (BASE)'!L23</f>
        <v>247.63414383263287</v>
      </c>
      <c r="M23" s="16">
        <f>'Cost-Benefit (BASE)'!M23</f>
        <v>247.63414383263287</v>
      </c>
      <c r="N23" s="16">
        <f>'Cost-Benefit (BASE)'!N23</f>
        <v>247.63414383263287</v>
      </c>
      <c r="O23" s="16">
        <f>'Cost-Benefit (BASE)'!O23</f>
        <v>247.63414383263287</v>
      </c>
      <c r="P23" s="16">
        <f>'Cost-Benefit (BASE)'!P23</f>
        <v>247.63414383263287</v>
      </c>
      <c r="Q23" s="16">
        <f>'Cost-Benefit (BASE)'!Q23</f>
        <v>247.63414383263287</v>
      </c>
      <c r="R23" s="16">
        <f>'Cost-Benefit (BASE)'!R23</f>
        <v>247.63414383263287</v>
      </c>
    </row>
    <row r="24" spans="1:18" x14ac:dyDescent="0.3">
      <c r="A24" s="1" t="s">
        <v>0</v>
      </c>
      <c r="B24" s="1"/>
      <c r="C24" s="3">
        <f>NPV($B$2,D24:R24)</f>
        <v>38546656.602131225</v>
      </c>
      <c r="D24" s="3">
        <f>D23*$B$1</f>
        <v>617.34422430236827</v>
      </c>
      <c r="E24" s="3">
        <f t="shared" ref="E24:R24" si="9">E23*$B$1</f>
        <v>617.34422430236827</v>
      </c>
      <c r="F24" s="3">
        <f t="shared" si="9"/>
        <v>1490487.1394430751</v>
      </c>
      <c r="G24" s="3">
        <f t="shared" si="9"/>
        <v>1184345.8084743265</v>
      </c>
      <c r="H24" s="3">
        <f t="shared" si="9"/>
        <v>1949768.3847514892</v>
      </c>
      <c r="I24" s="3">
        <f t="shared" si="9"/>
        <v>3073294.1818558648</v>
      </c>
      <c r="J24" s="3">
        <f t="shared" si="9"/>
        <v>3832191.9017021707</v>
      </c>
      <c r="K24" s="3">
        <f t="shared" si="9"/>
        <v>6677034.8205464007</v>
      </c>
      <c r="L24" s="3">
        <f t="shared" si="9"/>
        <v>7813352.5062072324</v>
      </c>
      <c r="M24" s="3">
        <f t="shared" si="9"/>
        <v>7813352.5062072324</v>
      </c>
      <c r="N24" s="3">
        <f t="shared" si="9"/>
        <v>7813352.5062072324</v>
      </c>
      <c r="O24" s="3">
        <f t="shared" si="9"/>
        <v>7813352.5062072324</v>
      </c>
      <c r="P24" s="3">
        <f t="shared" si="9"/>
        <v>7813352.5062072324</v>
      </c>
      <c r="Q24" s="3">
        <f t="shared" si="9"/>
        <v>7813352.5062072324</v>
      </c>
      <c r="R24" s="3">
        <f t="shared" si="9"/>
        <v>7813352.5062072324</v>
      </c>
    </row>
    <row r="25" spans="1:18" x14ac:dyDescent="0.3">
      <c r="A25" s="1" t="s">
        <v>9</v>
      </c>
      <c r="B25" s="1"/>
      <c r="C25" s="3">
        <f t="shared" ref="C25:C26" si="10">NPV($B$2,D25:R25)</f>
        <v>-22493602.066675529</v>
      </c>
      <c r="D25" s="4">
        <f>D$6-D24</f>
        <v>0</v>
      </c>
      <c r="E25" s="4">
        <f t="shared" ref="E25:R25" si="11">E$6-E24</f>
        <v>0</v>
      </c>
      <c r="F25" s="4">
        <f t="shared" si="11"/>
        <v>-1478818.6106739612</v>
      </c>
      <c r="G25" s="4">
        <f t="shared" si="11"/>
        <v>-1085274.8154199701</v>
      </c>
      <c r="H25" s="4">
        <f t="shared" si="11"/>
        <v>-1837348.4701826179</v>
      </c>
      <c r="I25" s="4">
        <f t="shared" si="11"/>
        <v>-2771903.7725157309</v>
      </c>
      <c r="J25" s="4">
        <f t="shared" si="11"/>
        <v>-3134034.1812171577</v>
      </c>
      <c r="K25" s="4">
        <f t="shared" si="11"/>
        <v>-5418688.5981312236</v>
      </c>
      <c r="L25" s="4">
        <f t="shared" si="11"/>
        <v>-4528649.9272605553</v>
      </c>
      <c r="M25" s="4">
        <f t="shared" si="11"/>
        <v>-3305390.1182107367</v>
      </c>
      <c r="N25" s="4">
        <f t="shared" si="11"/>
        <v>-3305390.1182107367</v>
      </c>
      <c r="O25" s="4">
        <f t="shared" si="11"/>
        <v>-3305390.1182107367</v>
      </c>
      <c r="P25" s="4">
        <f t="shared" si="11"/>
        <v>-3305390.1182107367</v>
      </c>
      <c r="Q25" s="4">
        <f t="shared" si="11"/>
        <v>-3305390.1182107367</v>
      </c>
      <c r="R25" s="4">
        <f t="shared" si="11"/>
        <v>-3305390.1182107367</v>
      </c>
    </row>
    <row r="26" spans="1:18" x14ac:dyDescent="0.3">
      <c r="A26" s="1" t="s">
        <v>10</v>
      </c>
      <c r="B26" s="1"/>
      <c r="C26" s="3">
        <f t="shared" si="10"/>
        <v>6038958.7044357089</v>
      </c>
      <c r="D26" s="3">
        <f>'Option Costs'!C15</f>
        <v>0</v>
      </c>
      <c r="E26" s="3">
        <f>'Option Costs'!D15</f>
        <v>5931828.7499999981</v>
      </c>
      <c r="F26" s="3">
        <f>'Option Costs'!E15</f>
        <v>91201.86703124996</v>
      </c>
      <c r="G26" s="3">
        <f>'Option Costs'!F15</f>
        <v>93481.913707031199</v>
      </c>
      <c r="H26" s="3">
        <f>'Option Costs'!G15</f>
        <v>95818.961549706975</v>
      </c>
      <c r="I26" s="3">
        <f>'Option Costs'!H15</f>
        <v>98214.435588449647</v>
      </c>
      <c r="J26" s="3">
        <f>'Option Costs'!I15</f>
        <v>100669.79647816088</v>
      </c>
      <c r="K26" s="3">
        <f>'Option Costs'!J15</f>
        <v>103186.54139011489</v>
      </c>
      <c r="L26" s="3">
        <f>'Option Costs'!K15</f>
        <v>105766.20492486775</v>
      </c>
      <c r="M26" s="3">
        <f>'Option Costs'!L15</f>
        <v>108410.36004798944</v>
      </c>
      <c r="N26" s="3">
        <f>'Option Costs'!M15</f>
        <v>111120.61904918916</v>
      </c>
      <c r="O26" s="3">
        <f>'Option Costs'!N15</f>
        <v>113898.63452541888</v>
      </c>
      <c r="P26" s="3">
        <f>'Option Costs'!O15</f>
        <v>116746.10038855435</v>
      </c>
      <c r="Q26" s="3">
        <f>'Option Costs'!P15</f>
        <v>119664.7528982682</v>
      </c>
      <c r="R26" s="3">
        <f>'Option Costs'!Q15</f>
        <v>122656.3717207249</v>
      </c>
    </row>
    <row r="27" spans="1:18" x14ac:dyDescent="0.3">
      <c r="A27" s="1" t="s">
        <v>11</v>
      </c>
      <c r="C27" s="4">
        <f>C25-C26</f>
        <v>-28532560.771111239</v>
      </c>
    </row>
    <row r="28" spans="1:18" s="10" customFormat="1" x14ac:dyDescent="0.3">
      <c r="A28" s="6" t="s">
        <v>6</v>
      </c>
      <c r="B28" s="11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 x14ac:dyDescent="0.3">
      <c r="A29" s="1" t="s">
        <v>38</v>
      </c>
      <c r="B29" s="1"/>
      <c r="C29" s="1"/>
      <c r="D29" s="16">
        <f>'Cost-Benefit (BASE)'!D29</f>
        <v>1.9565930029867149E-2</v>
      </c>
      <c r="E29" s="16">
        <f>'Cost-Benefit (BASE)'!E29</f>
        <v>1.9565930029867149E-2</v>
      </c>
      <c r="F29" s="16">
        <f>'Cost-Benefit (BASE)'!F29</f>
        <v>0</v>
      </c>
      <c r="G29" s="16">
        <f>'Cost-Benefit (BASE)'!G29</f>
        <v>0</v>
      </c>
      <c r="H29" s="16">
        <f>'Cost-Benefit (BASE)'!H29</f>
        <v>0</v>
      </c>
      <c r="I29" s="16">
        <f>'Cost-Benefit (BASE)'!I29</f>
        <v>0</v>
      </c>
      <c r="J29" s="16">
        <f>'Cost-Benefit (BASE)'!J29</f>
        <v>0</v>
      </c>
      <c r="K29" s="16">
        <f>'Cost-Benefit (BASE)'!K29</f>
        <v>0</v>
      </c>
      <c r="L29" s="16">
        <f>'Cost-Benefit (BASE)'!L29</f>
        <v>0</v>
      </c>
      <c r="M29" s="16">
        <f>'Cost-Benefit (BASE)'!M29</f>
        <v>0</v>
      </c>
      <c r="N29" s="16">
        <f>'Cost-Benefit (BASE)'!N29</f>
        <v>0</v>
      </c>
      <c r="O29" s="16">
        <f>'Cost-Benefit (BASE)'!O29</f>
        <v>0</v>
      </c>
      <c r="P29" s="16">
        <f>'Cost-Benefit (BASE)'!P29</f>
        <v>0</v>
      </c>
      <c r="Q29" s="16">
        <f>'Cost-Benefit (BASE)'!Q29</f>
        <v>0</v>
      </c>
      <c r="R29" s="16">
        <f>'Cost-Benefit (BASE)'!R29</f>
        <v>0</v>
      </c>
    </row>
    <row r="30" spans="1:18" x14ac:dyDescent="0.3">
      <c r="A30" s="1" t="s">
        <v>0</v>
      </c>
      <c r="B30" s="1"/>
      <c r="C30" s="3">
        <f>NPV($B$2,D30:R30)</f>
        <v>1125.9928558997176</v>
      </c>
      <c r="D30" s="3">
        <f>D29*$B$1</f>
        <v>617.34422430236827</v>
      </c>
      <c r="E30" s="3">
        <f t="shared" ref="E30:R30" si="12">E29*$B$1</f>
        <v>617.34422430236827</v>
      </c>
      <c r="F30" s="3">
        <f t="shared" si="12"/>
        <v>0</v>
      </c>
      <c r="G30" s="3">
        <f t="shared" si="12"/>
        <v>0</v>
      </c>
      <c r="H30" s="3">
        <f t="shared" si="12"/>
        <v>0</v>
      </c>
      <c r="I30" s="3">
        <f t="shared" si="12"/>
        <v>0</v>
      </c>
      <c r="J30" s="3">
        <f t="shared" si="12"/>
        <v>0</v>
      </c>
      <c r="K30" s="3">
        <f t="shared" si="12"/>
        <v>0</v>
      </c>
      <c r="L30" s="3">
        <f t="shared" si="12"/>
        <v>0</v>
      </c>
      <c r="M30" s="3">
        <f t="shared" si="12"/>
        <v>0</v>
      </c>
      <c r="N30" s="3">
        <f t="shared" si="12"/>
        <v>0</v>
      </c>
      <c r="O30" s="3">
        <f t="shared" si="12"/>
        <v>0</v>
      </c>
      <c r="P30" s="3">
        <f t="shared" si="12"/>
        <v>0</v>
      </c>
      <c r="Q30" s="3">
        <f t="shared" si="12"/>
        <v>0</v>
      </c>
      <c r="R30" s="3">
        <f t="shared" si="12"/>
        <v>0</v>
      </c>
    </row>
    <row r="31" spans="1:18" x14ac:dyDescent="0.3">
      <c r="A31" s="1" t="s">
        <v>9</v>
      </c>
      <c r="B31" s="1"/>
      <c r="C31" s="3">
        <f t="shared" ref="C31:C32" si="13">NPV($B$2,D31:R31)</f>
        <v>16051928.542599786</v>
      </c>
      <c r="D31" s="4">
        <f>D$6-D30</f>
        <v>0</v>
      </c>
      <c r="E31" s="4">
        <f t="shared" ref="E31:R31" si="14">E$6-E30</f>
        <v>0</v>
      </c>
      <c r="F31" s="4">
        <f t="shared" si="14"/>
        <v>11668.528769113876</v>
      </c>
      <c r="G31" s="4">
        <f t="shared" si="14"/>
        <v>99070.993054356499</v>
      </c>
      <c r="H31" s="4">
        <f t="shared" si="14"/>
        <v>112419.91456887116</v>
      </c>
      <c r="I31" s="4">
        <f t="shared" si="14"/>
        <v>301390.40934013372</v>
      </c>
      <c r="J31" s="4">
        <f t="shared" si="14"/>
        <v>698157.72048501309</v>
      </c>
      <c r="K31" s="4">
        <f t="shared" si="14"/>
        <v>1258346.2224151774</v>
      </c>
      <c r="L31" s="4">
        <f t="shared" si="14"/>
        <v>3284702.5789466766</v>
      </c>
      <c r="M31" s="4">
        <f t="shared" si="14"/>
        <v>4507962.3879964957</v>
      </c>
      <c r="N31" s="4">
        <f t="shared" si="14"/>
        <v>4507962.3879964957</v>
      </c>
      <c r="O31" s="4">
        <f t="shared" si="14"/>
        <v>4507962.3879964957</v>
      </c>
      <c r="P31" s="4">
        <f t="shared" si="14"/>
        <v>4507962.3879964957</v>
      </c>
      <c r="Q31" s="4">
        <f t="shared" si="14"/>
        <v>4507962.3879964957</v>
      </c>
      <c r="R31" s="4">
        <f t="shared" si="14"/>
        <v>4507962.3879964957</v>
      </c>
    </row>
    <row r="32" spans="1:18" x14ac:dyDescent="0.3">
      <c r="A32" s="1" t="s">
        <v>10</v>
      </c>
      <c r="B32" s="1"/>
      <c r="C32" s="3">
        <f t="shared" si="13"/>
        <v>11156992.250437282</v>
      </c>
      <c r="D32" s="3">
        <f>'Option Costs'!C19</f>
        <v>0</v>
      </c>
      <c r="E32" s="3">
        <f>'Option Costs'!D19</f>
        <v>10959069.374999998</v>
      </c>
      <c r="F32" s="3">
        <f>'Option Costs'!E19</f>
        <v>168495.69164062495</v>
      </c>
      <c r="G32" s="3">
        <f>'Option Costs'!F19</f>
        <v>172708.08393164055</v>
      </c>
      <c r="H32" s="3">
        <f>'Option Costs'!G19</f>
        <v>177025.78602993154</v>
      </c>
      <c r="I32" s="3">
        <f>'Option Costs'!H19</f>
        <v>181451.4306806798</v>
      </c>
      <c r="J32" s="3">
        <f>'Option Costs'!I19</f>
        <v>185987.71644769679</v>
      </c>
      <c r="K32" s="3">
        <f>'Option Costs'!J19</f>
        <v>190637.40935888918</v>
      </c>
      <c r="L32" s="3">
        <f>'Option Costs'!K19</f>
        <v>195403.34459286139</v>
      </c>
      <c r="M32" s="3">
        <f>'Option Costs'!L19</f>
        <v>200288.42820768291</v>
      </c>
      <c r="N32" s="3">
        <f>'Option Costs'!M19</f>
        <v>205295.63891287497</v>
      </c>
      <c r="O32" s="3">
        <f>'Option Costs'!N19</f>
        <v>210428.02988569683</v>
      </c>
      <c r="P32" s="3">
        <f>'Option Costs'!O19</f>
        <v>215688.73063283923</v>
      </c>
      <c r="Q32" s="3">
        <f>'Option Costs'!P19</f>
        <v>221080.94889866019</v>
      </c>
      <c r="R32" s="3">
        <f>'Option Costs'!Q19</f>
        <v>226607.97262112668</v>
      </c>
    </row>
    <row r="33" spans="1:18" x14ac:dyDescent="0.3">
      <c r="A33" s="1" t="s">
        <v>11</v>
      </c>
      <c r="C33" s="4">
        <f>C31-C32</f>
        <v>4894936.292162504</v>
      </c>
    </row>
    <row r="34" spans="1:18" s="10" customFormat="1" x14ac:dyDescent="0.3">
      <c r="A34" s="6"/>
      <c r="B34" s="11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1:18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x14ac:dyDescent="0.3">
      <c r="A36" s="1"/>
      <c r="B36" s="1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x14ac:dyDescent="0.3">
      <c r="A37" s="1"/>
      <c r="C37" s="3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x14ac:dyDescent="0.3">
      <c r="A38" s="1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x14ac:dyDescent="0.3">
      <c r="A39" s="1"/>
      <c r="C39" s="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zoomScaleNormal="100" workbookViewId="0">
      <pane xSplit="3" ySplit="3" topLeftCell="D4" activePane="bottomRight" state="frozen"/>
      <selection pane="topRight" activeCell="F1" sqref="F1"/>
      <selection pane="bottomLeft" activeCell="A4" sqref="A4"/>
      <selection pane="bottomRight" activeCell="E14" sqref="E14"/>
    </sheetView>
  </sheetViews>
  <sheetFormatPr defaultRowHeight="14.4" x14ac:dyDescent="0.3"/>
  <cols>
    <col min="1" max="1" width="23.88671875" bestFit="1" customWidth="1"/>
    <col min="2" max="2" width="11.44140625" bestFit="1" customWidth="1"/>
    <col min="3" max="3" width="25.6640625" bestFit="1" customWidth="1"/>
    <col min="4" max="4" width="12" bestFit="1" customWidth="1"/>
    <col min="5" max="5" width="12.44140625" bestFit="1" customWidth="1"/>
    <col min="6" max="6" width="13.109375" bestFit="1" customWidth="1"/>
    <col min="7" max="7" width="12.88671875" bestFit="1" customWidth="1"/>
    <col min="8" max="9" width="13.109375" bestFit="1" customWidth="1"/>
    <col min="10" max="11" width="13.5546875" bestFit="1" customWidth="1"/>
    <col min="12" max="12" width="13.109375" bestFit="1" customWidth="1"/>
    <col min="13" max="18" width="13.5546875" bestFit="1" customWidth="1"/>
  </cols>
  <sheetData>
    <row r="1" spans="1:18" s="10" customFormat="1" x14ac:dyDescent="0.3">
      <c r="A1" s="19" t="s">
        <v>12</v>
      </c>
      <c r="B1" s="20">
        <f>'Cost-Benefit (BASE)'!B1</f>
        <v>39440</v>
      </c>
      <c r="C1" s="17"/>
      <c r="D1" s="18">
        <v>2018</v>
      </c>
      <c r="E1" s="18">
        <v>2019</v>
      </c>
      <c r="F1" s="18">
        <v>2020</v>
      </c>
      <c r="G1" s="18">
        <v>2021</v>
      </c>
      <c r="H1" s="18">
        <v>2022</v>
      </c>
      <c r="I1" s="18">
        <v>2023</v>
      </c>
      <c r="J1" s="18">
        <v>2024</v>
      </c>
      <c r="K1" s="18">
        <v>2025</v>
      </c>
      <c r="L1" s="18">
        <v>2026</v>
      </c>
      <c r="M1" s="18">
        <v>2027</v>
      </c>
      <c r="N1" s="18">
        <v>2028</v>
      </c>
      <c r="O1" s="18">
        <v>2029</v>
      </c>
      <c r="P1" s="18">
        <v>2030</v>
      </c>
      <c r="Q1" s="18">
        <v>2031</v>
      </c>
      <c r="R1" s="18">
        <v>2032</v>
      </c>
    </row>
    <row r="2" spans="1:18" x14ac:dyDescent="0.3">
      <c r="A2" s="1" t="s">
        <v>3</v>
      </c>
      <c r="B2" s="14">
        <v>8.2600000000000007E-2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x14ac:dyDescent="0.3">
      <c r="A3" s="15" t="s">
        <v>39</v>
      </c>
      <c r="B3" s="15" t="s">
        <v>40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s="10" customFormat="1" x14ac:dyDescent="0.3">
      <c r="A4" s="6" t="s">
        <v>8</v>
      </c>
      <c r="B4" s="11"/>
      <c r="C4" s="7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x14ac:dyDescent="0.3">
      <c r="A5" s="1" t="s">
        <v>38</v>
      </c>
      <c r="B5" s="1"/>
      <c r="C5" s="1"/>
      <c r="D5" s="16">
        <f>'Cost-Benefit (BASE)'!D5</f>
        <v>1.9565930029867149E-2</v>
      </c>
      <c r="E5" s="16">
        <f>'Cost-Benefit (BASE)'!E5</f>
        <v>1.9565930029867149E-2</v>
      </c>
      <c r="F5" s="16">
        <f>'Cost-Benefit (BASE)'!F5</f>
        <v>0.36981898989331508</v>
      </c>
      <c r="G5" s="16">
        <f>'Cost-Benefit (BASE)'!G5</f>
        <v>3.1399275182034896</v>
      </c>
      <c r="H5" s="16">
        <f>'Cost-Benefit (BASE)'!H5</f>
        <v>3.5630043917618903</v>
      </c>
      <c r="I5" s="16">
        <f>'Cost-Benefit (BASE)'!I5</f>
        <v>9.552180823406875</v>
      </c>
      <c r="J5" s="16">
        <f>'Cost-Benefit (BASE)'!J5</f>
        <v>22.127209700970244</v>
      </c>
      <c r="K5" s="16">
        <f>'Cost-Benefit (BASE)'!K5</f>
        <v>39.881662728675757</v>
      </c>
      <c r="L5" s="16">
        <f>'Cost-Benefit (BASE)'!L5</f>
        <v>104.1044174361903</v>
      </c>
      <c r="M5" s="16">
        <f>'Cost-Benefit (BASE)'!M5</f>
        <v>142.87406148569016</v>
      </c>
      <c r="N5" s="16">
        <f>'Cost-Benefit (BASE)'!N5</f>
        <v>142.87406148569016</v>
      </c>
      <c r="O5" s="16">
        <f>'Cost-Benefit (BASE)'!O5</f>
        <v>142.87406148569016</v>
      </c>
      <c r="P5" s="16">
        <f>'Cost-Benefit (BASE)'!P5</f>
        <v>142.87406148569016</v>
      </c>
      <c r="Q5" s="16">
        <f>'Cost-Benefit (BASE)'!Q5</f>
        <v>142.87406148569016</v>
      </c>
      <c r="R5" s="16">
        <f>'Cost-Benefit (BASE)'!R5</f>
        <v>142.87406148569016</v>
      </c>
    </row>
    <row r="6" spans="1:18" x14ac:dyDescent="0.3">
      <c r="A6" s="1" t="s">
        <v>0</v>
      </c>
      <c r="B6" s="1"/>
      <c r="C6" s="3">
        <f>NPV($B$2,D6:R6)</f>
        <v>16428241.950850129</v>
      </c>
      <c r="D6" s="3">
        <f>D5*$B$1</f>
        <v>771.68028037796034</v>
      </c>
      <c r="E6" s="3">
        <f t="shared" ref="E6:R6" si="0">E5*$B$1</f>
        <v>771.68028037796034</v>
      </c>
      <c r="F6" s="3">
        <f t="shared" si="0"/>
        <v>14585.660961392347</v>
      </c>
      <c r="G6" s="3">
        <f t="shared" si="0"/>
        <v>123838.74131794563</v>
      </c>
      <c r="H6" s="3">
        <f t="shared" si="0"/>
        <v>140524.89321108896</v>
      </c>
      <c r="I6" s="3">
        <f t="shared" si="0"/>
        <v>376738.01167516713</v>
      </c>
      <c r="J6" s="3">
        <f t="shared" si="0"/>
        <v>872697.15060626646</v>
      </c>
      <c r="K6" s="3">
        <f t="shared" si="0"/>
        <v>1572932.7780189719</v>
      </c>
      <c r="L6" s="3">
        <f t="shared" si="0"/>
        <v>4105878.2236833456</v>
      </c>
      <c r="M6" s="3">
        <f t="shared" si="0"/>
        <v>5634952.9849956203</v>
      </c>
      <c r="N6" s="3">
        <f t="shared" si="0"/>
        <v>5634952.9849956203</v>
      </c>
      <c r="O6" s="3">
        <f t="shared" si="0"/>
        <v>5634952.9849956203</v>
      </c>
      <c r="P6" s="3">
        <f t="shared" si="0"/>
        <v>5634952.9849956203</v>
      </c>
      <c r="Q6" s="3">
        <f t="shared" si="0"/>
        <v>5634952.9849956203</v>
      </c>
      <c r="R6" s="3">
        <f t="shared" si="0"/>
        <v>5634952.9849956203</v>
      </c>
    </row>
    <row r="7" spans="1:18" x14ac:dyDescent="0.3">
      <c r="A7" s="1" t="s">
        <v>9</v>
      </c>
      <c r="B7" s="1"/>
      <c r="C7" s="3">
        <f t="shared" ref="C7:C8" si="1">NPV($B$2,D7:R7)</f>
        <v>-16428241.950850129</v>
      </c>
      <c r="D7" s="4">
        <f>0-D6</f>
        <v>-771.68028037796034</v>
      </c>
      <c r="E7" s="4">
        <f t="shared" ref="E7:R7" si="2">0-E6</f>
        <v>-771.68028037796034</v>
      </c>
      <c r="F7" s="4">
        <f t="shared" si="2"/>
        <v>-14585.660961392347</v>
      </c>
      <c r="G7" s="4">
        <f t="shared" si="2"/>
        <v>-123838.74131794563</v>
      </c>
      <c r="H7" s="4">
        <f t="shared" si="2"/>
        <v>-140524.89321108896</v>
      </c>
      <c r="I7" s="4">
        <f t="shared" si="2"/>
        <v>-376738.01167516713</v>
      </c>
      <c r="J7" s="4">
        <f t="shared" si="2"/>
        <v>-872697.15060626646</v>
      </c>
      <c r="K7" s="4">
        <f t="shared" si="2"/>
        <v>-1572932.7780189719</v>
      </c>
      <c r="L7" s="4">
        <f t="shared" si="2"/>
        <v>-4105878.2236833456</v>
      </c>
      <c r="M7" s="4">
        <f t="shared" si="2"/>
        <v>-5634952.9849956203</v>
      </c>
      <c r="N7" s="4">
        <f t="shared" si="2"/>
        <v>-5634952.9849956203</v>
      </c>
      <c r="O7" s="4">
        <f t="shared" si="2"/>
        <v>-5634952.9849956203</v>
      </c>
      <c r="P7" s="4">
        <f t="shared" si="2"/>
        <v>-5634952.9849956203</v>
      </c>
      <c r="Q7" s="4">
        <f t="shared" si="2"/>
        <v>-5634952.9849956203</v>
      </c>
      <c r="R7" s="4">
        <f t="shared" si="2"/>
        <v>-5634952.9849956203</v>
      </c>
    </row>
    <row r="8" spans="1:18" x14ac:dyDescent="0.3">
      <c r="A8" s="1" t="s">
        <v>10</v>
      </c>
      <c r="B8" s="1"/>
      <c r="C8" s="3">
        <f t="shared" si="1"/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</row>
    <row r="9" spans="1:18" x14ac:dyDescent="0.3">
      <c r="A9" s="1" t="s">
        <v>11</v>
      </c>
      <c r="C9" s="4">
        <f>C7-C8</f>
        <v>-16428241.950850129</v>
      </c>
    </row>
    <row r="10" spans="1:18" s="10" customFormat="1" x14ac:dyDescent="0.3">
      <c r="A10" s="6" t="s">
        <v>34</v>
      </c>
      <c r="B10" s="11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 x14ac:dyDescent="0.3">
      <c r="A11" s="1" t="s">
        <v>38</v>
      </c>
      <c r="B11" s="1"/>
      <c r="C11" s="1"/>
      <c r="D11" s="16">
        <f>'Cost-Benefit (BASE)'!D11</f>
        <v>1.9565930029867149E-2</v>
      </c>
      <c r="E11" s="16">
        <f>'Cost-Benefit (BASE)'!E11</f>
        <v>1.9565930029867149E-2</v>
      </c>
      <c r="F11" s="16">
        <f>'Cost-Benefit (BASE)'!F11</f>
        <v>0</v>
      </c>
      <c r="G11" s="16">
        <f>'Cost-Benefit (BASE)'!G11</f>
        <v>0</v>
      </c>
      <c r="H11" s="16">
        <f>'Cost-Benefit (BASE)'!H11</f>
        <v>0</v>
      </c>
      <c r="I11" s="16">
        <f>'Cost-Benefit (BASE)'!I11</f>
        <v>4.9858744575862665E-5</v>
      </c>
      <c r="J11" s="16">
        <f>'Cost-Benefit (BASE)'!J11</f>
        <v>5.5085099351845248E-4</v>
      </c>
      <c r="K11" s="16">
        <f>'Cost-Benefit (BASE)'!K11</f>
        <v>1.25605694373247E-3</v>
      </c>
      <c r="L11" s="16">
        <f>'Cost-Benefit (BASE)'!L11</f>
        <v>2.4538227914392995E-3</v>
      </c>
      <c r="M11" s="16">
        <f>'Cost-Benefit (BASE)'!M11</f>
        <v>2.4538227914392995E-3</v>
      </c>
      <c r="N11" s="16">
        <f>'Cost-Benefit (BASE)'!N11</f>
        <v>2.4538227914392995E-3</v>
      </c>
      <c r="O11" s="16">
        <f>'Cost-Benefit (BASE)'!O11</f>
        <v>2.4538227914392995E-3</v>
      </c>
      <c r="P11" s="16">
        <f>'Cost-Benefit (BASE)'!P11</f>
        <v>2.4538227914392995E-3</v>
      </c>
      <c r="Q11" s="16">
        <f>'Cost-Benefit (BASE)'!Q11</f>
        <v>2.4538227914392995E-3</v>
      </c>
      <c r="R11" s="16">
        <f>'Cost-Benefit (BASE)'!R11</f>
        <v>2.4538227914392995E-3</v>
      </c>
    </row>
    <row r="12" spans="1:18" x14ac:dyDescent="0.3">
      <c r="A12" s="1" t="s">
        <v>0</v>
      </c>
      <c r="B12" s="1"/>
      <c r="C12" s="3">
        <f>NPV($B$2,D12:R12)</f>
        <v>1675.8397029465768</v>
      </c>
      <c r="D12" s="3">
        <f>D11*$B$1</f>
        <v>771.68028037796034</v>
      </c>
      <c r="E12" s="3">
        <f t="shared" ref="E12:R12" si="3">E11*$B$1</f>
        <v>771.68028037796034</v>
      </c>
      <c r="F12" s="3">
        <f t="shared" si="3"/>
        <v>0</v>
      </c>
      <c r="G12" s="3">
        <f t="shared" si="3"/>
        <v>0</v>
      </c>
      <c r="H12" s="3">
        <f t="shared" si="3"/>
        <v>0</v>
      </c>
      <c r="I12" s="3">
        <f t="shared" si="3"/>
        <v>1.9664288860720236</v>
      </c>
      <c r="J12" s="3">
        <f t="shared" si="3"/>
        <v>21.725563184367765</v>
      </c>
      <c r="K12" s="3">
        <f t="shared" si="3"/>
        <v>49.538885860808612</v>
      </c>
      <c r="L12" s="3">
        <f t="shared" si="3"/>
        <v>96.778770894365977</v>
      </c>
      <c r="M12" s="3">
        <f t="shared" si="3"/>
        <v>96.778770894365977</v>
      </c>
      <c r="N12" s="3">
        <f t="shared" si="3"/>
        <v>96.778770894365977</v>
      </c>
      <c r="O12" s="3">
        <f t="shared" si="3"/>
        <v>96.778770894365977</v>
      </c>
      <c r="P12" s="3">
        <f t="shared" si="3"/>
        <v>96.778770894365977</v>
      </c>
      <c r="Q12" s="3">
        <f t="shared" si="3"/>
        <v>96.778770894365977</v>
      </c>
      <c r="R12" s="3">
        <f t="shared" si="3"/>
        <v>96.778770894365977</v>
      </c>
    </row>
    <row r="13" spans="1:18" x14ac:dyDescent="0.3">
      <c r="A13" s="1" t="s">
        <v>9</v>
      </c>
      <c r="B13" s="1"/>
      <c r="C13" s="3">
        <f t="shared" ref="C13:C14" si="4">NPV($B$2,D13:R13)</f>
        <v>16426566.111147184</v>
      </c>
      <c r="D13" s="4">
        <f>D$6-D12</f>
        <v>0</v>
      </c>
      <c r="E13" s="4">
        <f t="shared" ref="E13:R13" si="5">E$6-E12</f>
        <v>0</v>
      </c>
      <c r="F13" s="4">
        <f t="shared" si="5"/>
        <v>14585.660961392347</v>
      </c>
      <c r="G13" s="4">
        <f t="shared" si="5"/>
        <v>123838.74131794563</v>
      </c>
      <c r="H13" s="4">
        <f t="shared" si="5"/>
        <v>140524.89321108896</v>
      </c>
      <c r="I13" s="4">
        <f t="shared" si="5"/>
        <v>376736.04524628108</v>
      </c>
      <c r="J13" s="4">
        <f t="shared" si="5"/>
        <v>872675.4250430821</v>
      </c>
      <c r="K13" s="4">
        <f t="shared" si="5"/>
        <v>1572883.2391331112</v>
      </c>
      <c r="L13" s="4">
        <f t="shared" si="5"/>
        <v>4105781.4449124513</v>
      </c>
      <c r="M13" s="4">
        <f t="shared" si="5"/>
        <v>5634856.2062247256</v>
      </c>
      <c r="N13" s="4">
        <f t="shared" si="5"/>
        <v>5634856.2062247256</v>
      </c>
      <c r="O13" s="4">
        <f t="shared" si="5"/>
        <v>5634856.2062247256</v>
      </c>
      <c r="P13" s="4">
        <f t="shared" si="5"/>
        <v>5634856.2062247256</v>
      </c>
      <c r="Q13" s="4">
        <f t="shared" si="5"/>
        <v>5634856.2062247256</v>
      </c>
      <c r="R13" s="4">
        <f t="shared" si="5"/>
        <v>5634856.2062247256</v>
      </c>
    </row>
    <row r="14" spans="1:18" x14ac:dyDescent="0.3">
      <c r="A14" s="1" t="s">
        <v>10</v>
      </c>
      <c r="B14" s="1"/>
      <c r="C14" s="3">
        <f t="shared" si="4"/>
        <v>13321436.559779299</v>
      </c>
      <c r="D14" s="3">
        <f>'Option Costs'!C7</f>
        <v>0</v>
      </c>
      <c r="E14" s="3">
        <f>'Option Costs'!D7</f>
        <v>13746377.499999996</v>
      </c>
      <c r="F14" s="3">
        <f>'Option Costs'!E7</f>
        <v>211350.55406249993</v>
      </c>
      <c r="G14" s="3">
        <f>'Option Costs'!F7</f>
        <v>216634.31791406241</v>
      </c>
      <c r="H14" s="3">
        <f>'Option Costs'!G7</f>
        <v>222050.17586191394</v>
      </c>
      <c r="I14" s="3">
        <f>'Option Costs'!H7</f>
        <v>227601.43025846177</v>
      </c>
      <c r="J14" s="3">
        <f>'Option Costs'!I7</f>
        <v>233291.4660149233</v>
      </c>
      <c r="K14" s="3">
        <f>'Option Costs'!J7</f>
        <v>239123.75266529634</v>
      </c>
      <c r="L14" s="3">
        <f>'Option Costs'!K7</f>
        <v>245101.84648192872</v>
      </c>
      <c r="M14" s="3">
        <f>'Option Costs'!L7</f>
        <v>251229.39264397693</v>
      </c>
      <c r="N14" s="3">
        <f>'Option Costs'!M7</f>
        <v>257510.12746007633</v>
      </c>
      <c r="O14" s="3">
        <f>'Option Costs'!N7</f>
        <v>263947.88064657821</v>
      </c>
      <c r="P14" s="3">
        <f>'Option Costs'!O7</f>
        <v>270546.57766274264</v>
      </c>
      <c r="Q14" s="3">
        <f>'Option Costs'!P7</f>
        <v>277310.24210431118</v>
      </c>
      <c r="R14" s="3">
        <f>'Option Costs'!Q7</f>
        <v>284242.99815691891</v>
      </c>
    </row>
    <row r="15" spans="1:18" x14ac:dyDescent="0.3">
      <c r="A15" s="1" t="s">
        <v>11</v>
      </c>
      <c r="C15" s="4">
        <f>C13-C14</f>
        <v>3105129.5513678845</v>
      </c>
    </row>
    <row r="16" spans="1:18" s="10" customFormat="1" x14ac:dyDescent="0.3">
      <c r="A16" s="6" t="s">
        <v>4</v>
      </c>
      <c r="B16" s="11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x14ac:dyDescent="0.3">
      <c r="A17" s="1" t="s">
        <v>38</v>
      </c>
      <c r="B17" s="1"/>
      <c r="C17" s="1"/>
      <c r="D17" s="16">
        <f>'Cost-Benefit (BASE)'!D17</f>
        <v>1.9565930029867149E-2</v>
      </c>
      <c r="E17" s="16">
        <f>'Cost-Benefit (BASE)'!E17</f>
        <v>1.9565930029867149E-2</v>
      </c>
      <c r="F17" s="16">
        <f>'Cost-Benefit (BASE)'!F17</f>
        <v>0</v>
      </c>
      <c r="G17" s="16">
        <f>'Cost-Benefit (BASE)'!G17</f>
        <v>0</v>
      </c>
      <c r="H17" s="16">
        <f>'Cost-Benefit (BASE)'!H17</f>
        <v>0</v>
      </c>
      <c r="I17" s="16">
        <f>'Cost-Benefit (BASE)'!I17</f>
        <v>0</v>
      </c>
      <c r="J17" s="16">
        <f>'Cost-Benefit (BASE)'!J17</f>
        <v>0</v>
      </c>
      <c r="K17" s="16">
        <f>'Cost-Benefit (BASE)'!K17</f>
        <v>0</v>
      </c>
      <c r="L17" s="16">
        <f>'Cost-Benefit (BASE)'!L17</f>
        <v>0</v>
      </c>
      <c r="M17" s="16">
        <f>'Cost-Benefit (BASE)'!M17</f>
        <v>0</v>
      </c>
      <c r="N17" s="16">
        <f>'Cost-Benefit (BASE)'!N17</f>
        <v>0</v>
      </c>
      <c r="O17" s="16">
        <f>'Cost-Benefit (BASE)'!O17</f>
        <v>0</v>
      </c>
      <c r="P17" s="16">
        <f>'Cost-Benefit (BASE)'!P17</f>
        <v>0</v>
      </c>
      <c r="Q17" s="16">
        <f>'Cost-Benefit (BASE)'!Q17</f>
        <v>0</v>
      </c>
      <c r="R17" s="16">
        <f>'Cost-Benefit (BASE)'!R17</f>
        <v>0</v>
      </c>
    </row>
    <row r="18" spans="1:18" x14ac:dyDescent="0.3">
      <c r="A18" s="1" t="s">
        <v>0</v>
      </c>
      <c r="B18" s="1"/>
      <c r="C18" s="3">
        <f>NPV($B$2,D18:R18)</f>
        <v>1371.220258482984</v>
      </c>
      <c r="D18" s="3">
        <f>D17*$B$1</f>
        <v>771.68028037796034</v>
      </c>
      <c r="E18" s="3">
        <f t="shared" ref="E18:R18" si="6">E17*$B$1</f>
        <v>771.68028037796034</v>
      </c>
      <c r="F18" s="3">
        <f t="shared" si="6"/>
        <v>0</v>
      </c>
      <c r="G18" s="3">
        <f t="shared" si="6"/>
        <v>0</v>
      </c>
      <c r="H18" s="3">
        <f t="shared" si="6"/>
        <v>0</v>
      </c>
      <c r="I18" s="3">
        <f t="shared" si="6"/>
        <v>0</v>
      </c>
      <c r="J18" s="3">
        <f t="shared" si="6"/>
        <v>0</v>
      </c>
      <c r="K18" s="3">
        <f t="shared" si="6"/>
        <v>0</v>
      </c>
      <c r="L18" s="3">
        <f t="shared" si="6"/>
        <v>0</v>
      </c>
      <c r="M18" s="3">
        <f t="shared" si="6"/>
        <v>0</v>
      </c>
      <c r="N18" s="3">
        <f t="shared" si="6"/>
        <v>0</v>
      </c>
      <c r="O18" s="3">
        <f t="shared" si="6"/>
        <v>0</v>
      </c>
      <c r="P18" s="3">
        <f t="shared" si="6"/>
        <v>0</v>
      </c>
      <c r="Q18" s="3">
        <f t="shared" si="6"/>
        <v>0</v>
      </c>
      <c r="R18" s="3">
        <f t="shared" si="6"/>
        <v>0</v>
      </c>
    </row>
    <row r="19" spans="1:18" x14ac:dyDescent="0.3">
      <c r="A19" s="1" t="s">
        <v>9</v>
      </c>
      <c r="B19" s="1"/>
      <c r="C19" s="3">
        <f t="shared" ref="C19:C20" si="7">NPV($B$2,D19:R19)</f>
        <v>16426870.730591645</v>
      </c>
      <c r="D19" s="4">
        <f>D$6-D18</f>
        <v>0</v>
      </c>
      <c r="E19" s="4">
        <f t="shared" ref="E19:R19" si="8">E$6-E18</f>
        <v>0</v>
      </c>
      <c r="F19" s="4">
        <f t="shared" si="8"/>
        <v>14585.660961392347</v>
      </c>
      <c r="G19" s="4">
        <f t="shared" si="8"/>
        <v>123838.74131794563</v>
      </c>
      <c r="H19" s="4">
        <f t="shared" si="8"/>
        <v>140524.89321108896</v>
      </c>
      <c r="I19" s="4">
        <f t="shared" si="8"/>
        <v>376738.01167516713</v>
      </c>
      <c r="J19" s="4">
        <f t="shared" si="8"/>
        <v>872697.15060626646</v>
      </c>
      <c r="K19" s="4">
        <f t="shared" si="8"/>
        <v>1572932.7780189719</v>
      </c>
      <c r="L19" s="4">
        <f t="shared" si="8"/>
        <v>4105878.2236833456</v>
      </c>
      <c r="M19" s="4">
        <f t="shared" si="8"/>
        <v>5634952.9849956203</v>
      </c>
      <c r="N19" s="4">
        <f t="shared" si="8"/>
        <v>5634952.9849956203</v>
      </c>
      <c r="O19" s="4">
        <f t="shared" si="8"/>
        <v>5634952.9849956203</v>
      </c>
      <c r="P19" s="4">
        <f t="shared" si="8"/>
        <v>5634952.9849956203</v>
      </c>
      <c r="Q19" s="4">
        <f t="shared" si="8"/>
        <v>5634952.9849956203</v>
      </c>
      <c r="R19" s="4">
        <f t="shared" si="8"/>
        <v>5634952.9849956203</v>
      </c>
    </row>
    <row r="20" spans="1:18" x14ac:dyDescent="0.3">
      <c r="A20" s="1" t="s">
        <v>10</v>
      </c>
      <c r="B20" s="1"/>
      <c r="C20" s="3">
        <f t="shared" si="7"/>
        <v>15655030.638068149</v>
      </c>
      <c r="D20" s="3">
        <f>'Option Costs'!C11</f>
        <v>0</v>
      </c>
      <c r="E20" s="3">
        <f>'Option Costs'!D11</f>
        <v>16154409.999999996</v>
      </c>
      <c r="F20" s="3">
        <f>'Option Costs'!E11</f>
        <v>248374.0537499999</v>
      </c>
      <c r="G20" s="3">
        <f>'Option Costs'!F11</f>
        <v>254583.40509374987</v>
      </c>
      <c r="H20" s="3">
        <f>'Option Costs'!G11</f>
        <v>260947.99022109358</v>
      </c>
      <c r="I20" s="3">
        <f>'Option Costs'!H11</f>
        <v>267471.6899766209</v>
      </c>
      <c r="J20" s="3">
        <f>'Option Costs'!I11</f>
        <v>274158.48222603637</v>
      </c>
      <c r="K20" s="3">
        <f>'Option Costs'!J11</f>
        <v>281012.44428168726</v>
      </c>
      <c r="L20" s="3">
        <f>'Option Costs'!K11</f>
        <v>288037.75538872939</v>
      </c>
      <c r="M20" s="3">
        <f>'Option Costs'!L11</f>
        <v>295238.69927344762</v>
      </c>
      <c r="N20" s="3">
        <f>'Option Costs'!M11</f>
        <v>302619.66675528378</v>
      </c>
      <c r="O20" s="3">
        <f>'Option Costs'!N11</f>
        <v>310185.15842416586</v>
      </c>
      <c r="P20" s="3">
        <f>'Option Costs'!O11</f>
        <v>317939.78738477</v>
      </c>
      <c r="Q20" s="3">
        <f>'Option Costs'!P11</f>
        <v>325889.28206938924</v>
      </c>
      <c r="R20" s="3">
        <f>'Option Costs'!Q11</f>
        <v>334037.50449612399</v>
      </c>
    </row>
    <row r="21" spans="1:18" x14ac:dyDescent="0.3">
      <c r="A21" s="1" t="s">
        <v>11</v>
      </c>
      <c r="C21" s="4">
        <f>C19-C20</f>
        <v>771840.0925234966</v>
      </c>
    </row>
    <row r="22" spans="1:18" s="10" customFormat="1" x14ac:dyDescent="0.3">
      <c r="A22" s="6" t="s">
        <v>5</v>
      </c>
      <c r="B22" s="11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 x14ac:dyDescent="0.3">
      <c r="A23" s="1" t="s">
        <v>38</v>
      </c>
      <c r="B23" s="1"/>
      <c r="C23" s="1"/>
      <c r="D23" s="16">
        <f>'Cost-Benefit (BASE)'!D23</f>
        <v>1.9565930029867149E-2</v>
      </c>
      <c r="E23" s="16">
        <f>'Cost-Benefit (BASE)'!E23</f>
        <v>1.9565930029867149E-2</v>
      </c>
      <c r="F23" s="16">
        <f>'Cost-Benefit (BASE)'!F23</f>
        <v>47.239070088839853</v>
      </c>
      <c r="G23" s="16">
        <f>'Cost-Benefit (BASE)'!G23</f>
        <v>37.536314923755278</v>
      </c>
      <c r="H23" s="16">
        <f>'Cost-Benefit (BASE)'!H23</f>
        <v>61.795397589740404</v>
      </c>
      <c r="I23" s="16">
        <f>'Cost-Benefit (BASE)'!I23</f>
        <v>97.404100591273604</v>
      </c>
      <c r="J23" s="16">
        <f>'Cost-Benefit (BASE)'!J23</f>
        <v>121.45638633690957</v>
      </c>
      <c r="K23" s="16">
        <f>'Cost-Benefit (BASE)'!K23</f>
        <v>211.62001839967041</v>
      </c>
      <c r="L23" s="16">
        <f>'Cost-Benefit (BASE)'!L23</f>
        <v>247.63414383263287</v>
      </c>
      <c r="M23" s="16">
        <f>'Cost-Benefit (BASE)'!M23</f>
        <v>247.63414383263287</v>
      </c>
      <c r="N23" s="16">
        <f>'Cost-Benefit (BASE)'!N23</f>
        <v>247.63414383263287</v>
      </c>
      <c r="O23" s="16">
        <f>'Cost-Benefit (BASE)'!O23</f>
        <v>247.63414383263287</v>
      </c>
      <c r="P23" s="16">
        <f>'Cost-Benefit (BASE)'!P23</f>
        <v>247.63414383263287</v>
      </c>
      <c r="Q23" s="16">
        <f>'Cost-Benefit (BASE)'!Q23</f>
        <v>247.63414383263287</v>
      </c>
      <c r="R23" s="16">
        <f>'Cost-Benefit (BASE)'!R23</f>
        <v>247.63414383263287</v>
      </c>
    </row>
    <row r="24" spans="1:18" x14ac:dyDescent="0.3">
      <c r="A24" s="1" t="s">
        <v>0</v>
      </c>
      <c r="B24" s="1"/>
      <c r="C24" s="3">
        <f>NPV($B$2,D24:R24)</f>
        <v>40455067.107998952</v>
      </c>
      <c r="D24" s="3">
        <f>D23*$B$1</f>
        <v>771.68028037796034</v>
      </c>
      <c r="E24" s="3">
        <f t="shared" ref="E24:R24" si="9">E23*$B$1</f>
        <v>771.68028037796034</v>
      </c>
      <c r="F24" s="3">
        <f t="shared" si="9"/>
        <v>1863108.9243038439</v>
      </c>
      <c r="G24" s="3">
        <f t="shared" si="9"/>
        <v>1480432.2605929081</v>
      </c>
      <c r="H24" s="3">
        <f t="shared" si="9"/>
        <v>2437210.4809393617</v>
      </c>
      <c r="I24" s="3">
        <f t="shared" si="9"/>
        <v>3841617.727319831</v>
      </c>
      <c r="J24" s="3">
        <f t="shared" si="9"/>
        <v>4790239.8771277135</v>
      </c>
      <c r="K24" s="3">
        <f t="shared" si="9"/>
        <v>8346293.5256830007</v>
      </c>
      <c r="L24" s="3">
        <f t="shared" si="9"/>
        <v>9766690.6327590402</v>
      </c>
      <c r="M24" s="3">
        <f t="shared" si="9"/>
        <v>9766690.6327590402</v>
      </c>
      <c r="N24" s="3">
        <f t="shared" si="9"/>
        <v>9766690.6327590402</v>
      </c>
      <c r="O24" s="3">
        <f t="shared" si="9"/>
        <v>9766690.6327590402</v>
      </c>
      <c r="P24" s="3">
        <f t="shared" si="9"/>
        <v>9766690.6327590402</v>
      </c>
      <c r="Q24" s="3">
        <f t="shared" si="9"/>
        <v>9766690.6327590402</v>
      </c>
      <c r="R24" s="3">
        <f t="shared" si="9"/>
        <v>9766690.6327590402</v>
      </c>
    </row>
    <row r="25" spans="1:18" x14ac:dyDescent="0.3">
      <c r="A25" s="1" t="s">
        <v>9</v>
      </c>
      <c r="B25" s="1"/>
      <c r="C25" s="3">
        <f t="shared" ref="C25:C26" si="10">NPV($B$2,D25:R25)</f>
        <v>-24026825.157148816</v>
      </c>
      <c r="D25" s="4">
        <f>D$6-D24</f>
        <v>0</v>
      </c>
      <c r="E25" s="4">
        <f t="shared" ref="E25:R25" si="11">E$6-E24</f>
        <v>0</v>
      </c>
      <c r="F25" s="4">
        <f t="shared" si="11"/>
        <v>-1848523.2633424515</v>
      </c>
      <c r="G25" s="4">
        <f t="shared" si="11"/>
        <v>-1356593.5192749626</v>
      </c>
      <c r="H25" s="4">
        <f t="shared" si="11"/>
        <v>-2296685.5877282727</v>
      </c>
      <c r="I25" s="4">
        <f t="shared" si="11"/>
        <v>-3464879.7156446641</v>
      </c>
      <c r="J25" s="4">
        <f t="shared" si="11"/>
        <v>-3917542.7265214473</v>
      </c>
      <c r="K25" s="4">
        <f t="shared" si="11"/>
        <v>-6773360.7476640288</v>
      </c>
      <c r="L25" s="4">
        <f t="shared" si="11"/>
        <v>-5660812.4090756942</v>
      </c>
      <c r="M25" s="4">
        <f t="shared" si="11"/>
        <v>-4131737.6477634199</v>
      </c>
      <c r="N25" s="4">
        <f t="shared" si="11"/>
        <v>-4131737.6477634199</v>
      </c>
      <c r="O25" s="4">
        <f t="shared" si="11"/>
        <v>-4131737.6477634199</v>
      </c>
      <c r="P25" s="4">
        <f t="shared" si="11"/>
        <v>-4131737.6477634199</v>
      </c>
      <c r="Q25" s="4">
        <f t="shared" si="11"/>
        <v>-4131737.6477634199</v>
      </c>
      <c r="R25" s="4">
        <f t="shared" si="11"/>
        <v>-4131737.6477634199</v>
      </c>
    </row>
    <row r="26" spans="1:18" x14ac:dyDescent="0.3">
      <c r="A26" s="1" t="s">
        <v>10</v>
      </c>
      <c r="B26" s="1"/>
      <c r="C26" s="3">
        <f t="shared" si="10"/>
        <v>5748458.4849062916</v>
      </c>
      <c r="D26" s="3">
        <f>'Option Costs'!C15</f>
        <v>0</v>
      </c>
      <c r="E26" s="3">
        <f>'Option Costs'!D15</f>
        <v>5931828.7499999981</v>
      </c>
      <c r="F26" s="3">
        <f>'Option Costs'!E15</f>
        <v>91201.86703124996</v>
      </c>
      <c r="G26" s="3">
        <f>'Option Costs'!F15</f>
        <v>93481.913707031199</v>
      </c>
      <c r="H26" s="3">
        <f>'Option Costs'!G15</f>
        <v>95818.961549706975</v>
      </c>
      <c r="I26" s="3">
        <f>'Option Costs'!H15</f>
        <v>98214.435588449647</v>
      </c>
      <c r="J26" s="3">
        <f>'Option Costs'!I15</f>
        <v>100669.79647816088</v>
      </c>
      <c r="K26" s="3">
        <f>'Option Costs'!J15</f>
        <v>103186.54139011489</v>
      </c>
      <c r="L26" s="3">
        <f>'Option Costs'!K15</f>
        <v>105766.20492486775</v>
      </c>
      <c r="M26" s="3">
        <f>'Option Costs'!L15</f>
        <v>108410.36004798944</v>
      </c>
      <c r="N26" s="3">
        <f>'Option Costs'!M15</f>
        <v>111120.61904918916</v>
      </c>
      <c r="O26" s="3">
        <f>'Option Costs'!N15</f>
        <v>113898.63452541888</v>
      </c>
      <c r="P26" s="3">
        <f>'Option Costs'!O15</f>
        <v>116746.10038855435</v>
      </c>
      <c r="Q26" s="3">
        <f>'Option Costs'!P15</f>
        <v>119664.7528982682</v>
      </c>
      <c r="R26" s="3">
        <f>'Option Costs'!Q15</f>
        <v>122656.3717207249</v>
      </c>
    </row>
    <row r="27" spans="1:18" x14ac:dyDescent="0.3">
      <c r="A27" s="1" t="s">
        <v>11</v>
      </c>
      <c r="C27" s="4">
        <f>C25-C26</f>
        <v>-29775283.642055109</v>
      </c>
    </row>
    <row r="28" spans="1:18" s="10" customFormat="1" x14ac:dyDescent="0.3">
      <c r="A28" s="6" t="s">
        <v>6</v>
      </c>
      <c r="B28" s="11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 x14ac:dyDescent="0.3">
      <c r="A29" s="1" t="s">
        <v>38</v>
      </c>
      <c r="B29" s="1"/>
      <c r="C29" s="1"/>
      <c r="D29" s="16">
        <f>'Cost-Benefit (BASE)'!D29</f>
        <v>1.9565930029867149E-2</v>
      </c>
      <c r="E29" s="16">
        <f>'Cost-Benefit (BASE)'!E29</f>
        <v>1.9565930029867149E-2</v>
      </c>
      <c r="F29" s="16">
        <f>'Cost-Benefit (BASE)'!F29</f>
        <v>0</v>
      </c>
      <c r="G29" s="16">
        <f>'Cost-Benefit (BASE)'!G29</f>
        <v>0</v>
      </c>
      <c r="H29" s="16">
        <f>'Cost-Benefit (BASE)'!H29</f>
        <v>0</v>
      </c>
      <c r="I29" s="16">
        <f>'Cost-Benefit (BASE)'!I29</f>
        <v>0</v>
      </c>
      <c r="J29" s="16">
        <f>'Cost-Benefit (BASE)'!J29</f>
        <v>0</v>
      </c>
      <c r="K29" s="16">
        <f>'Cost-Benefit (BASE)'!K29</f>
        <v>0</v>
      </c>
      <c r="L29" s="16">
        <f>'Cost-Benefit (BASE)'!L29</f>
        <v>0</v>
      </c>
      <c r="M29" s="16">
        <f>'Cost-Benefit (BASE)'!M29</f>
        <v>0</v>
      </c>
      <c r="N29" s="16">
        <f>'Cost-Benefit (BASE)'!N29</f>
        <v>0</v>
      </c>
      <c r="O29" s="16">
        <f>'Cost-Benefit (BASE)'!O29</f>
        <v>0</v>
      </c>
      <c r="P29" s="16">
        <f>'Cost-Benefit (BASE)'!P29</f>
        <v>0</v>
      </c>
      <c r="Q29" s="16">
        <f>'Cost-Benefit (BASE)'!Q29</f>
        <v>0</v>
      </c>
      <c r="R29" s="16">
        <f>'Cost-Benefit (BASE)'!R29</f>
        <v>0</v>
      </c>
    </row>
    <row r="30" spans="1:18" x14ac:dyDescent="0.3">
      <c r="A30" s="1" t="s">
        <v>0</v>
      </c>
      <c r="B30" s="1"/>
      <c r="C30" s="3">
        <f>NPV($B$2,D30:R30)</f>
        <v>1371.220258482984</v>
      </c>
      <c r="D30" s="3">
        <f>D29*$B$1</f>
        <v>771.68028037796034</v>
      </c>
      <c r="E30" s="3">
        <f t="shared" ref="E30:R30" si="12">E29*$B$1</f>
        <v>771.68028037796034</v>
      </c>
      <c r="F30" s="3">
        <f t="shared" si="12"/>
        <v>0</v>
      </c>
      <c r="G30" s="3">
        <f t="shared" si="12"/>
        <v>0</v>
      </c>
      <c r="H30" s="3">
        <f t="shared" si="12"/>
        <v>0</v>
      </c>
      <c r="I30" s="3">
        <f t="shared" si="12"/>
        <v>0</v>
      </c>
      <c r="J30" s="3">
        <f t="shared" si="12"/>
        <v>0</v>
      </c>
      <c r="K30" s="3">
        <f t="shared" si="12"/>
        <v>0</v>
      </c>
      <c r="L30" s="3">
        <f t="shared" si="12"/>
        <v>0</v>
      </c>
      <c r="M30" s="3">
        <f t="shared" si="12"/>
        <v>0</v>
      </c>
      <c r="N30" s="3">
        <f t="shared" si="12"/>
        <v>0</v>
      </c>
      <c r="O30" s="3">
        <f t="shared" si="12"/>
        <v>0</v>
      </c>
      <c r="P30" s="3">
        <f t="shared" si="12"/>
        <v>0</v>
      </c>
      <c r="Q30" s="3">
        <f t="shared" si="12"/>
        <v>0</v>
      </c>
      <c r="R30" s="3">
        <f t="shared" si="12"/>
        <v>0</v>
      </c>
    </row>
    <row r="31" spans="1:18" x14ac:dyDescent="0.3">
      <c r="A31" s="1" t="s">
        <v>9</v>
      </c>
      <c r="B31" s="1"/>
      <c r="C31" s="3">
        <f t="shared" ref="C31:C32" si="13">NPV($B$2,D31:R31)</f>
        <v>16426870.730591645</v>
      </c>
      <c r="D31" s="4">
        <f>D$6-D30</f>
        <v>0</v>
      </c>
      <c r="E31" s="4">
        <f t="shared" ref="E31:R31" si="14">E$6-E30</f>
        <v>0</v>
      </c>
      <c r="F31" s="4">
        <f t="shared" si="14"/>
        <v>14585.660961392347</v>
      </c>
      <c r="G31" s="4">
        <f t="shared" si="14"/>
        <v>123838.74131794563</v>
      </c>
      <c r="H31" s="4">
        <f t="shared" si="14"/>
        <v>140524.89321108896</v>
      </c>
      <c r="I31" s="4">
        <f t="shared" si="14"/>
        <v>376738.01167516713</v>
      </c>
      <c r="J31" s="4">
        <f t="shared" si="14"/>
        <v>872697.15060626646</v>
      </c>
      <c r="K31" s="4">
        <f t="shared" si="14"/>
        <v>1572932.7780189719</v>
      </c>
      <c r="L31" s="4">
        <f t="shared" si="14"/>
        <v>4105878.2236833456</v>
      </c>
      <c r="M31" s="4">
        <f t="shared" si="14"/>
        <v>5634952.9849956203</v>
      </c>
      <c r="N31" s="4">
        <f t="shared" si="14"/>
        <v>5634952.9849956203</v>
      </c>
      <c r="O31" s="4">
        <f t="shared" si="14"/>
        <v>5634952.9849956203</v>
      </c>
      <c r="P31" s="4">
        <f t="shared" si="14"/>
        <v>5634952.9849956203</v>
      </c>
      <c r="Q31" s="4">
        <f t="shared" si="14"/>
        <v>5634952.9849956203</v>
      </c>
      <c r="R31" s="4">
        <f t="shared" si="14"/>
        <v>5634952.9849956203</v>
      </c>
    </row>
    <row r="32" spans="1:18" x14ac:dyDescent="0.3">
      <c r="A32" s="1" t="s">
        <v>10</v>
      </c>
      <c r="B32" s="1"/>
      <c r="C32" s="3">
        <f t="shared" si="13"/>
        <v>10620292.323070761</v>
      </c>
      <c r="D32" s="3">
        <f>'Option Costs'!C19</f>
        <v>0</v>
      </c>
      <c r="E32" s="3">
        <f>'Option Costs'!D19</f>
        <v>10959069.374999998</v>
      </c>
      <c r="F32" s="3">
        <f>'Option Costs'!E19</f>
        <v>168495.69164062495</v>
      </c>
      <c r="G32" s="3">
        <f>'Option Costs'!F19</f>
        <v>172708.08393164055</v>
      </c>
      <c r="H32" s="3">
        <f>'Option Costs'!G19</f>
        <v>177025.78602993154</v>
      </c>
      <c r="I32" s="3">
        <f>'Option Costs'!H19</f>
        <v>181451.4306806798</v>
      </c>
      <c r="J32" s="3">
        <f>'Option Costs'!I19</f>
        <v>185987.71644769679</v>
      </c>
      <c r="K32" s="3">
        <f>'Option Costs'!J19</f>
        <v>190637.40935888918</v>
      </c>
      <c r="L32" s="3">
        <f>'Option Costs'!K19</f>
        <v>195403.34459286139</v>
      </c>
      <c r="M32" s="3">
        <f>'Option Costs'!L19</f>
        <v>200288.42820768291</v>
      </c>
      <c r="N32" s="3">
        <f>'Option Costs'!M19</f>
        <v>205295.63891287497</v>
      </c>
      <c r="O32" s="3">
        <f>'Option Costs'!N19</f>
        <v>210428.02988569683</v>
      </c>
      <c r="P32" s="3">
        <f>'Option Costs'!O19</f>
        <v>215688.73063283923</v>
      </c>
      <c r="Q32" s="3">
        <f>'Option Costs'!P19</f>
        <v>221080.94889866019</v>
      </c>
      <c r="R32" s="3">
        <f>'Option Costs'!Q19</f>
        <v>226607.97262112668</v>
      </c>
    </row>
    <row r="33" spans="1:18" x14ac:dyDescent="0.3">
      <c r="A33" s="1" t="s">
        <v>11</v>
      </c>
      <c r="C33" s="4">
        <f>C31-C32</f>
        <v>5806578.4075208846</v>
      </c>
    </row>
    <row r="34" spans="1:18" s="10" customFormat="1" x14ac:dyDescent="0.3">
      <c r="A34" s="6"/>
      <c r="B34" s="11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1:18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x14ac:dyDescent="0.3">
      <c r="A36" s="1"/>
      <c r="B36" s="1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x14ac:dyDescent="0.3">
      <c r="A37" s="1"/>
      <c r="C37" s="3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x14ac:dyDescent="0.3">
      <c r="A38" s="1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x14ac:dyDescent="0.3">
      <c r="A39" s="1"/>
      <c r="C39" s="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zoomScaleNormal="100" workbookViewId="0">
      <pane xSplit="3" ySplit="3" topLeftCell="D4" activePane="bottomRight" state="frozen"/>
      <selection pane="topRight" activeCell="F1" sqref="F1"/>
      <selection pane="bottomLeft" activeCell="A4" sqref="A4"/>
      <selection pane="bottomRight" activeCell="E36" sqref="E36"/>
    </sheetView>
  </sheetViews>
  <sheetFormatPr defaultRowHeight="14.4" x14ac:dyDescent="0.3"/>
  <cols>
    <col min="1" max="1" width="23.88671875" bestFit="1" customWidth="1"/>
    <col min="2" max="2" width="11.44140625" bestFit="1" customWidth="1"/>
    <col min="3" max="3" width="25.6640625" bestFit="1" customWidth="1"/>
    <col min="4" max="4" width="12" bestFit="1" customWidth="1"/>
    <col min="5" max="5" width="12.44140625" bestFit="1" customWidth="1"/>
    <col min="6" max="6" width="13.109375" bestFit="1" customWidth="1"/>
    <col min="7" max="7" width="12.88671875" bestFit="1" customWidth="1"/>
    <col min="8" max="9" width="13.109375" bestFit="1" customWidth="1"/>
    <col min="10" max="11" width="13.5546875" bestFit="1" customWidth="1"/>
    <col min="12" max="12" width="13.109375" bestFit="1" customWidth="1"/>
    <col min="13" max="18" width="13.5546875" bestFit="1" customWidth="1"/>
  </cols>
  <sheetData>
    <row r="1" spans="1:18" s="10" customFormat="1" x14ac:dyDescent="0.3">
      <c r="A1" s="19" t="s">
        <v>12</v>
      </c>
      <c r="B1" s="20">
        <f>'Cost-Benefit (BASE)'!B1</f>
        <v>39440</v>
      </c>
      <c r="C1" s="17"/>
      <c r="D1" s="18">
        <v>2018</v>
      </c>
      <c r="E1" s="18">
        <v>2019</v>
      </c>
      <c r="F1" s="18">
        <v>2020</v>
      </c>
      <c r="G1" s="18">
        <v>2021</v>
      </c>
      <c r="H1" s="18">
        <v>2022</v>
      </c>
      <c r="I1" s="18">
        <v>2023</v>
      </c>
      <c r="J1" s="18">
        <v>2024</v>
      </c>
      <c r="K1" s="18">
        <v>2025</v>
      </c>
      <c r="L1" s="18">
        <v>2026</v>
      </c>
      <c r="M1" s="18">
        <v>2027</v>
      </c>
      <c r="N1" s="18">
        <v>2028</v>
      </c>
      <c r="O1" s="18">
        <v>2029</v>
      </c>
      <c r="P1" s="18">
        <v>2030</v>
      </c>
      <c r="Q1" s="18">
        <v>2031</v>
      </c>
      <c r="R1" s="18">
        <v>2032</v>
      </c>
    </row>
    <row r="2" spans="1:18" x14ac:dyDescent="0.3">
      <c r="A2" s="1" t="s">
        <v>3</v>
      </c>
      <c r="B2" s="14">
        <f>'Cost-Benefit (BASE)'!B2</f>
        <v>6.3700000000000007E-2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x14ac:dyDescent="0.3">
      <c r="A3" s="15" t="s">
        <v>41</v>
      </c>
      <c r="B3" s="15">
        <v>1.3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s="10" customFormat="1" x14ac:dyDescent="0.3">
      <c r="A4" s="6" t="s">
        <v>8</v>
      </c>
      <c r="B4" s="11"/>
      <c r="C4" s="7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x14ac:dyDescent="0.3">
      <c r="A5" s="1" t="s">
        <v>38</v>
      </c>
      <c r="B5" s="1"/>
      <c r="C5" s="1"/>
      <c r="D5" s="16">
        <f>'Cost-Benefit (BASE)'!D5</f>
        <v>1.9565930029867149E-2</v>
      </c>
      <c r="E5" s="16">
        <f>'Cost-Benefit (BASE)'!E5</f>
        <v>1.9565930029867149E-2</v>
      </c>
      <c r="F5" s="16">
        <f>'Cost-Benefit (BASE)'!F5</f>
        <v>0.36981898989331508</v>
      </c>
      <c r="G5" s="16">
        <f>'Cost-Benefit (BASE)'!G5</f>
        <v>3.1399275182034896</v>
      </c>
      <c r="H5" s="16">
        <f>'Cost-Benefit (BASE)'!H5</f>
        <v>3.5630043917618903</v>
      </c>
      <c r="I5" s="16">
        <f>'Cost-Benefit (BASE)'!I5</f>
        <v>9.552180823406875</v>
      </c>
      <c r="J5" s="16">
        <f>'Cost-Benefit (BASE)'!J5</f>
        <v>22.127209700970244</v>
      </c>
      <c r="K5" s="16">
        <f>'Cost-Benefit (BASE)'!K5</f>
        <v>39.881662728675757</v>
      </c>
      <c r="L5" s="16">
        <f>'Cost-Benefit (BASE)'!L5</f>
        <v>104.1044174361903</v>
      </c>
      <c r="M5" s="16">
        <f>'Cost-Benefit (BASE)'!M5</f>
        <v>142.87406148569016</v>
      </c>
      <c r="N5" s="16">
        <f>'Cost-Benefit (BASE)'!N5</f>
        <v>142.87406148569016</v>
      </c>
      <c r="O5" s="16">
        <f>'Cost-Benefit (BASE)'!O5</f>
        <v>142.87406148569016</v>
      </c>
      <c r="P5" s="16">
        <f>'Cost-Benefit (BASE)'!P5</f>
        <v>142.87406148569016</v>
      </c>
      <c r="Q5" s="16">
        <f>'Cost-Benefit (BASE)'!Q5</f>
        <v>142.87406148569016</v>
      </c>
      <c r="R5" s="16">
        <f>'Cost-Benefit (BASE)'!R5</f>
        <v>142.87406148569016</v>
      </c>
    </row>
    <row r="6" spans="1:18" x14ac:dyDescent="0.3">
      <c r="A6" s="1" t="s">
        <v>0</v>
      </c>
      <c r="B6" s="1"/>
      <c r="C6" s="3">
        <f>NPV($B$2,D6:R6)</f>
        <v>20066318.169319611</v>
      </c>
      <c r="D6" s="3">
        <f>D5*$B$1</f>
        <v>771.68028037796034</v>
      </c>
      <c r="E6" s="3">
        <f t="shared" ref="E6:R6" si="0">E5*$B$1</f>
        <v>771.68028037796034</v>
      </c>
      <c r="F6" s="3">
        <f t="shared" si="0"/>
        <v>14585.660961392347</v>
      </c>
      <c r="G6" s="3">
        <f t="shared" si="0"/>
        <v>123838.74131794563</v>
      </c>
      <c r="H6" s="3">
        <f t="shared" si="0"/>
        <v>140524.89321108896</v>
      </c>
      <c r="I6" s="3">
        <f t="shared" si="0"/>
        <v>376738.01167516713</v>
      </c>
      <c r="J6" s="3">
        <f t="shared" si="0"/>
        <v>872697.15060626646</v>
      </c>
      <c r="K6" s="3">
        <f t="shared" si="0"/>
        <v>1572932.7780189719</v>
      </c>
      <c r="L6" s="3">
        <f t="shared" si="0"/>
        <v>4105878.2236833456</v>
      </c>
      <c r="M6" s="3">
        <f t="shared" si="0"/>
        <v>5634952.9849956203</v>
      </c>
      <c r="N6" s="3">
        <f t="shared" si="0"/>
        <v>5634952.9849956203</v>
      </c>
      <c r="O6" s="3">
        <f t="shared" si="0"/>
        <v>5634952.9849956203</v>
      </c>
      <c r="P6" s="3">
        <f t="shared" si="0"/>
        <v>5634952.9849956203</v>
      </c>
      <c r="Q6" s="3">
        <f t="shared" si="0"/>
        <v>5634952.9849956203</v>
      </c>
      <c r="R6" s="3">
        <f t="shared" si="0"/>
        <v>5634952.9849956203</v>
      </c>
    </row>
    <row r="7" spans="1:18" x14ac:dyDescent="0.3">
      <c r="A7" s="1" t="s">
        <v>9</v>
      </c>
      <c r="B7" s="1"/>
      <c r="C7" s="3">
        <f t="shared" ref="C7:C8" si="1">NPV($B$2,D7:R7)</f>
        <v>-20066318.169319611</v>
      </c>
      <c r="D7" s="4">
        <f>0-D6</f>
        <v>-771.68028037796034</v>
      </c>
      <c r="E7" s="4">
        <f t="shared" ref="E7:R7" si="2">0-E6</f>
        <v>-771.68028037796034</v>
      </c>
      <c r="F7" s="4">
        <f t="shared" si="2"/>
        <v>-14585.660961392347</v>
      </c>
      <c r="G7" s="4">
        <f t="shared" si="2"/>
        <v>-123838.74131794563</v>
      </c>
      <c r="H7" s="4">
        <f t="shared" si="2"/>
        <v>-140524.89321108896</v>
      </c>
      <c r="I7" s="4">
        <f t="shared" si="2"/>
        <v>-376738.01167516713</v>
      </c>
      <c r="J7" s="4">
        <f t="shared" si="2"/>
        <v>-872697.15060626646</v>
      </c>
      <c r="K7" s="4">
        <f t="shared" si="2"/>
        <v>-1572932.7780189719</v>
      </c>
      <c r="L7" s="4">
        <f t="shared" si="2"/>
        <v>-4105878.2236833456</v>
      </c>
      <c r="M7" s="4">
        <f t="shared" si="2"/>
        <v>-5634952.9849956203</v>
      </c>
      <c r="N7" s="4">
        <f t="shared" si="2"/>
        <v>-5634952.9849956203</v>
      </c>
      <c r="O7" s="4">
        <f t="shared" si="2"/>
        <v>-5634952.9849956203</v>
      </c>
      <c r="P7" s="4">
        <f t="shared" si="2"/>
        <v>-5634952.9849956203</v>
      </c>
      <c r="Q7" s="4">
        <f t="shared" si="2"/>
        <v>-5634952.9849956203</v>
      </c>
      <c r="R7" s="4">
        <f t="shared" si="2"/>
        <v>-5634952.9849956203</v>
      </c>
    </row>
    <row r="8" spans="1:18" x14ac:dyDescent="0.3">
      <c r="A8" s="1" t="s">
        <v>10</v>
      </c>
      <c r="B8" s="1"/>
      <c r="C8" s="3">
        <f t="shared" si="1"/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</row>
    <row r="9" spans="1:18" x14ac:dyDescent="0.3">
      <c r="A9" s="1" t="s">
        <v>11</v>
      </c>
      <c r="C9" s="4">
        <f>C7-C8</f>
        <v>-20066318.169319611</v>
      </c>
    </row>
    <row r="10" spans="1:18" s="10" customFormat="1" x14ac:dyDescent="0.3">
      <c r="A10" s="6" t="s">
        <v>34</v>
      </c>
      <c r="B10" s="11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 x14ac:dyDescent="0.3">
      <c r="A11" s="1" t="s">
        <v>38</v>
      </c>
      <c r="B11" s="1"/>
      <c r="C11" s="1"/>
      <c r="D11" s="16">
        <f>'Cost-Benefit (BASE)'!D11</f>
        <v>1.9565930029867149E-2</v>
      </c>
      <c r="E11" s="16">
        <f>'Cost-Benefit (BASE)'!E11</f>
        <v>1.9565930029867149E-2</v>
      </c>
      <c r="F11" s="16">
        <f>'Cost-Benefit (BASE)'!F11</f>
        <v>0</v>
      </c>
      <c r="G11" s="16">
        <f>'Cost-Benefit (BASE)'!G11</f>
        <v>0</v>
      </c>
      <c r="H11" s="16">
        <f>'Cost-Benefit (BASE)'!H11</f>
        <v>0</v>
      </c>
      <c r="I11" s="16">
        <f>'Cost-Benefit (BASE)'!I11</f>
        <v>4.9858744575862665E-5</v>
      </c>
      <c r="J11" s="16">
        <f>'Cost-Benefit (BASE)'!J11</f>
        <v>5.5085099351845248E-4</v>
      </c>
      <c r="K11" s="16">
        <f>'Cost-Benefit (BASE)'!K11</f>
        <v>1.25605694373247E-3</v>
      </c>
      <c r="L11" s="16">
        <f>'Cost-Benefit (BASE)'!L11</f>
        <v>2.4538227914392995E-3</v>
      </c>
      <c r="M11" s="16">
        <f>'Cost-Benefit (BASE)'!M11</f>
        <v>2.4538227914392995E-3</v>
      </c>
      <c r="N11" s="16">
        <f>'Cost-Benefit (BASE)'!N11</f>
        <v>2.4538227914392995E-3</v>
      </c>
      <c r="O11" s="16">
        <f>'Cost-Benefit (BASE)'!O11</f>
        <v>2.4538227914392995E-3</v>
      </c>
      <c r="P11" s="16">
        <f>'Cost-Benefit (BASE)'!P11</f>
        <v>2.4538227914392995E-3</v>
      </c>
      <c r="Q11" s="16">
        <f>'Cost-Benefit (BASE)'!Q11</f>
        <v>2.4538227914392995E-3</v>
      </c>
      <c r="R11" s="16">
        <f>'Cost-Benefit (BASE)'!R11</f>
        <v>2.4538227914392995E-3</v>
      </c>
    </row>
    <row r="12" spans="1:18" x14ac:dyDescent="0.3">
      <c r="A12" s="1" t="s">
        <v>0</v>
      </c>
      <c r="B12" s="1"/>
      <c r="C12" s="3">
        <f>NPV($B$2,D12:R12)</f>
        <v>1778.5294634005209</v>
      </c>
      <c r="D12" s="3">
        <f>D11*$B$1</f>
        <v>771.68028037796034</v>
      </c>
      <c r="E12" s="3">
        <f t="shared" ref="E12:R12" si="3">E11*$B$1</f>
        <v>771.68028037796034</v>
      </c>
      <c r="F12" s="3">
        <f t="shared" si="3"/>
        <v>0</v>
      </c>
      <c r="G12" s="3">
        <f t="shared" si="3"/>
        <v>0</v>
      </c>
      <c r="H12" s="3">
        <f t="shared" si="3"/>
        <v>0</v>
      </c>
      <c r="I12" s="3">
        <f t="shared" si="3"/>
        <v>1.9664288860720236</v>
      </c>
      <c r="J12" s="3">
        <f t="shared" si="3"/>
        <v>21.725563184367765</v>
      </c>
      <c r="K12" s="3">
        <f t="shared" si="3"/>
        <v>49.538885860808612</v>
      </c>
      <c r="L12" s="3">
        <f t="shared" si="3"/>
        <v>96.778770894365977</v>
      </c>
      <c r="M12" s="3">
        <f t="shared" si="3"/>
        <v>96.778770894365977</v>
      </c>
      <c r="N12" s="3">
        <f t="shared" si="3"/>
        <v>96.778770894365977</v>
      </c>
      <c r="O12" s="3">
        <f t="shared" si="3"/>
        <v>96.778770894365977</v>
      </c>
      <c r="P12" s="3">
        <f t="shared" si="3"/>
        <v>96.778770894365977</v>
      </c>
      <c r="Q12" s="3">
        <f t="shared" si="3"/>
        <v>96.778770894365977</v>
      </c>
      <c r="R12" s="3">
        <f t="shared" si="3"/>
        <v>96.778770894365977</v>
      </c>
    </row>
    <row r="13" spans="1:18" x14ac:dyDescent="0.3">
      <c r="A13" s="1" t="s">
        <v>9</v>
      </c>
      <c r="B13" s="1"/>
      <c r="C13" s="3">
        <f t="shared" ref="C13:C14" si="4">NPV($B$2,D13:R13)</f>
        <v>20064539.639856212</v>
      </c>
      <c r="D13" s="4">
        <f>D$6-D12</f>
        <v>0</v>
      </c>
      <c r="E13" s="4">
        <f t="shared" ref="E13:R13" si="5">E$6-E12</f>
        <v>0</v>
      </c>
      <c r="F13" s="4">
        <f t="shared" si="5"/>
        <v>14585.660961392347</v>
      </c>
      <c r="G13" s="4">
        <f t="shared" si="5"/>
        <v>123838.74131794563</v>
      </c>
      <c r="H13" s="4">
        <f t="shared" si="5"/>
        <v>140524.89321108896</v>
      </c>
      <c r="I13" s="4">
        <f t="shared" si="5"/>
        <v>376736.04524628108</v>
      </c>
      <c r="J13" s="4">
        <f t="shared" si="5"/>
        <v>872675.4250430821</v>
      </c>
      <c r="K13" s="4">
        <f t="shared" si="5"/>
        <v>1572883.2391331112</v>
      </c>
      <c r="L13" s="4">
        <f t="shared" si="5"/>
        <v>4105781.4449124513</v>
      </c>
      <c r="M13" s="4">
        <f t="shared" si="5"/>
        <v>5634856.2062247256</v>
      </c>
      <c r="N13" s="4">
        <f t="shared" si="5"/>
        <v>5634856.2062247256</v>
      </c>
      <c r="O13" s="4">
        <f t="shared" si="5"/>
        <v>5634856.2062247256</v>
      </c>
      <c r="P13" s="4">
        <f t="shared" si="5"/>
        <v>5634856.2062247256</v>
      </c>
      <c r="Q13" s="4">
        <f t="shared" si="5"/>
        <v>5634856.2062247256</v>
      </c>
      <c r="R13" s="4">
        <f t="shared" si="5"/>
        <v>5634856.2062247256</v>
      </c>
    </row>
    <row r="14" spans="1:18" x14ac:dyDescent="0.3">
      <c r="A14" s="1" t="s">
        <v>10</v>
      </c>
      <c r="B14" s="1"/>
      <c r="C14" s="3">
        <f t="shared" si="4"/>
        <v>18193031.596792046</v>
      </c>
      <c r="D14" s="3">
        <f>'Option Costs'!C7*$B$3</f>
        <v>0</v>
      </c>
      <c r="E14" s="3">
        <f>'Option Costs'!D7*$B$3</f>
        <v>17870290.749999996</v>
      </c>
      <c r="F14" s="3">
        <f>'Option Costs'!E7*$B$3</f>
        <v>274755.7202812499</v>
      </c>
      <c r="G14" s="3">
        <f>'Option Costs'!F7*$B$3</f>
        <v>281624.61328828114</v>
      </c>
      <c r="H14" s="3">
        <f>'Option Costs'!G7*$B$3</f>
        <v>288665.22862048814</v>
      </c>
      <c r="I14" s="3">
        <f>'Option Costs'!H7*$B$3</f>
        <v>295881.85933600029</v>
      </c>
      <c r="J14" s="3">
        <f>'Option Costs'!I7*$B$3</f>
        <v>303278.90581940027</v>
      </c>
      <c r="K14" s="3">
        <f>'Option Costs'!J7*$B$3</f>
        <v>310860.87846488523</v>
      </c>
      <c r="L14" s="3">
        <f>'Option Costs'!K7*$B$3</f>
        <v>318632.40042650735</v>
      </c>
      <c r="M14" s="3">
        <f>'Option Costs'!L7*$B$3</f>
        <v>326598.21043717</v>
      </c>
      <c r="N14" s="3">
        <f>'Option Costs'!M7*$B$3</f>
        <v>334763.16569809924</v>
      </c>
      <c r="O14" s="3">
        <f>'Option Costs'!N7*$B$3</f>
        <v>343132.24484055169</v>
      </c>
      <c r="P14" s="3">
        <f>'Option Costs'!O7*$B$3</f>
        <v>351710.55096156546</v>
      </c>
      <c r="Q14" s="3">
        <f>'Option Costs'!P7*$B$3</f>
        <v>360503.31473560457</v>
      </c>
      <c r="R14" s="3">
        <f>'Option Costs'!Q7*$B$3</f>
        <v>369515.89760399458</v>
      </c>
    </row>
    <row r="15" spans="1:18" x14ac:dyDescent="0.3">
      <c r="A15" s="1" t="s">
        <v>11</v>
      </c>
      <c r="C15" s="4">
        <f>C13-C14</f>
        <v>1871508.0430641659</v>
      </c>
    </row>
    <row r="16" spans="1:18" s="10" customFormat="1" x14ac:dyDescent="0.3">
      <c r="A16" s="6" t="s">
        <v>4</v>
      </c>
      <c r="B16" s="11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x14ac:dyDescent="0.3">
      <c r="A17" s="1" t="s">
        <v>38</v>
      </c>
      <c r="B17" s="1"/>
      <c r="C17" s="1"/>
      <c r="D17" s="16">
        <f>'Cost-Benefit (BASE)'!D17</f>
        <v>1.9565930029867149E-2</v>
      </c>
      <c r="E17" s="16">
        <f>'Cost-Benefit (BASE)'!E17</f>
        <v>1.9565930029867149E-2</v>
      </c>
      <c r="F17" s="16">
        <f>'Cost-Benefit (BASE)'!F17</f>
        <v>0</v>
      </c>
      <c r="G17" s="16">
        <f>'Cost-Benefit (BASE)'!G17</f>
        <v>0</v>
      </c>
      <c r="H17" s="16">
        <f>'Cost-Benefit (BASE)'!H17</f>
        <v>0</v>
      </c>
      <c r="I17" s="16">
        <f>'Cost-Benefit (BASE)'!I17</f>
        <v>0</v>
      </c>
      <c r="J17" s="16">
        <f>'Cost-Benefit (BASE)'!J17</f>
        <v>0</v>
      </c>
      <c r="K17" s="16">
        <f>'Cost-Benefit (BASE)'!K17</f>
        <v>0</v>
      </c>
      <c r="L17" s="16">
        <f>'Cost-Benefit (BASE)'!L17</f>
        <v>0</v>
      </c>
      <c r="M17" s="16">
        <f>'Cost-Benefit (BASE)'!M17</f>
        <v>0</v>
      </c>
      <c r="N17" s="16">
        <f>'Cost-Benefit (BASE)'!N17</f>
        <v>0</v>
      </c>
      <c r="O17" s="16">
        <f>'Cost-Benefit (BASE)'!O17</f>
        <v>0</v>
      </c>
      <c r="P17" s="16">
        <f>'Cost-Benefit (BASE)'!P17</f>
        <v>0</v>
      </c>
      <c r="Q17" s="16">
        <f>'Cost-Benefit (BASE)'!Q17</f>
        <v>0</v>
      </c>
      <c r="R17" s="16">
        <f>'Cost-Benefit (BASE)'!R17</f>
        <v>0</v>
      </c>
    </row>
    <row r="18" spans="1:18" x14ac:dyDescent="0.3">
      <c r="A18" s="1" t="s">
        <v>0</v>
      </c>
      <c r="B18" s="1"/>
      <c r="C18" s="3">
        <f>NPV($B$2,D18:R18)</f>
        <v>1407.4910698746469</v>
      </c>
      <c r="D18" s="3">
        <f>D17*$B$1</f>
        <v>771.68028037796034</v>
      </c>
      <c r="E18" s="3">
        <f t="shared" ref="E18:R18" si="6">E17*$B$1</f>
        <v>771.68028037796034</v>
      </c>
      <c r="F18" s="3">
        <f t="shared" si="6"/>
        <v>0</v>
      </c>
      <c r="G18" s="3">
        <f t="shared" si="6"/>
        <v>0</v>
      </c>
      <c r="H18" s="3">
        <f t="shared" si="6"/>
        <v>0</v>
      </c>
      <c r="I18" s="3">
        <f t="shared" si="6"/>
        <v>0</v>
      </c>
      <c r="J18" s="3">
        <f t="shared" si="6"/>
        <v>0</v>
      </c>
      <c r="K18" s="3">
        <f t="shared" si="6"/>
        <v>0</v>
      </c>
      <c r="L18" s="3">
        <f t="shared" si="6"/>
        <v>0</v>
      </c>
      <c r="M18" s="3">
        <f t="shared" si="6"/>
        <v>0</v>
      </c>
      <c r="N18" s="3">
        <f t="shared" si="6"/>
        <v>0</v>
      </c>
      <c r="O18" s="3">
        <f t="shared" si="6"/>
        <v>0</v>
      </c>
      <c r="P18" s="3">
        <f t="shared" si="6"/>
        <v>0</v>
      </c>
      <c r="Q18" s="3">
        <f t="shared" si="6"/>
        <v>0</v>
      </c>
      <c r="R18" s="3">
        <f t="shared" si="6"/>
        <v>0</v>
      </c>
    </row>
    <row r="19" spans="1:18" x14ac:dyDescent="0.3">
      <c r="A19" s="1" t="s">
        <v>9</v>
      </c>
      <c r="B19" s="1"/>
      <c r="C19" s="3">
        <f t="shared" ref="C19:C20" si="7">NPV($B$2,D19:R19)</f>
        <v>20064910.678249739</v>
      </c>
      <c r="D19" s="4">
        <f>D$6-D18</f>
        <v>0</v>
      </c>
      <c r="E19" s="4">
        <f t="shared" ref="E19:R19" si="8">E$6-E18</f>
        <v>0</v>
      </c>
      <c r="F19" s="4">
        <f t="shared" si="8"/>
        <v>14585.660961392347</v>
      </c>
      <c r="G19" s="4">
        <f t="shared" si="8"/>
        <v>123838.74131794563</v>
      </c>
      <c r="H19" s="4">
        <f t="shared" si="8"/>
        <v>140524.89321108896</v>
      </c>
      <c r="I19" s="4">
        <f t="shared" si="8"/>
        <v>376738.01167516713</v>
      </c>
      <c r="J19" s="4">
        <f t="shared" si="8"/>
        <v>872697.15060626646</v>
      </c>
      <c r="K19" s="4">
        <f t="shared" si="8"/>
        <v>1572932.7780189719</v>
      </c>
      <c r="L19" s="4">
        <f t="shared" si="8"/>
        <v>4105878.2236833456</v>
      </c>
      <c r="M19" s="4">
        <f t="shared" si="8"/>
        <v>5634952.9849956203</v>
      </c>
      <c r="N19" s="4">
        <f t="shared" si="8"/>
        <v>5634952.9849956203</v>
      </c>
      <c r="O19" s="4">
        <f t="shared" si="8"/>
        <v>5634952.9849956203</v>
      </c>
      <c r="P19" s="4">
        <f t="shared" si="8"/>
        <v>5634952.9849956203</v>
      </c>
      <c r="Q19" s="4">
        <f t="shared" si="8"/>
        <v>5634952.9849956203</v>
      </c>
      <c r="R19" s="4">
        <f t="shared" si="8"/>
        <v>5634952.9849956203</v>
      </c>
    </row>
    <row r="20" spans="1:18" x14ac:dyDescent="0.3">
      <c r="A20" s="1" t="s">
        <v>10</v>
      </c>
      <c r="B20" s="1"/>
      <c r="C20" s="3">
        <f t="shared" si="7"/>
        <v>21380011.813868634</v>
      </c>
      <c r="D20" s="3">
        <f>'Option Costs'!C11*$B$3</f>
        <v>0</v>
      </c>
      <c r="E20" s="3">
        <f>'Option Costs'!D11*$B$3</f>
        <v>21000732.999999996</v>
      </c>
      <c r="F20" s="3">
        <f>'Option Costs'!E11*$B$3</f>
        <v>322886.26987499988</v>
      </c>
      <c r="G20" s="3">
        <f>'Option Costs'!F11*$B$3</f>
        <v>330958.42662187485</v>
      </c>
      <c r="H20" s="3">
        <f>'Option Costs'!G11*$B$3</f>
        <v>339232.38728742168</v>
      </c>
      <c r="I20" s="3">
        <f>'Option Costs'!H11*$B$3</f>
        <v>347713.1969696072</v>
      </c>
      <c r="J20" s="3">
        <f>'Option Costs'!I11*$B$3</f>
        <v>356406.02689384727</v>
      </c>
      <c r="K20" s="3">
        <f>'Option Costs'!J11*$B$3</f>
        <v>365316.17756619345</v>
      </c>
      <c r="L20" s="3">
        <f>'Option Costs'!K11*$B$3</f>
        <v>374449.08200534823</v>
      </c>
      <c r="M20" s="3">
        <f>'Option Costs'!L11*$B$3</f>
        <v>383810.30905548192</v>
      </c>
      <c r="N20" s="3">
        <f>'Option Costs'!M11*$B$3</f>
        <v>393405.56678186893</v>
      </c>
      <c r="O20" s="3">
        <f>'Option Costs'!N11*$B$3</f>
        <v>403240.70595141564</v>
      </c>
      <c r="P20" s="3">
        <f>'Option Costs'!O11*$B$3</f>
        <v>413321.72360020102</v>
      </c>
      <c r="Q20" s="3">
        <f>'Option Costs'!P11*$B$3</f>
        <v>423656.066690206</v>
      </c>
      <c r="R20" s="3">
        <f>'Option Costs'!Q11*$B$3</f>
        <v>434248.75584496121</v>
      </c>
    </row>
    <row r="21" spans="1:18" x14ac:dyDescent="0.3">
      <c r="A21" s="1" t="s">
        <v>11</v>
      </c>
      <c r="C21" s="4">
        <f>C19-C20</f>
        <v>-1315101.1356188953</v>
      </c>
    </row>
    <row r="22" spans="1:18" s="10" customFormat="1" x14ac:dyDescent="0.3">
      <c r="A22" s="6" t="s">
        <v>5</v>
      </c>
      <c r="B22" s="11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 x14ac:dyDescent="0.3">
      <c r="A23" s="1" t="s">
        <v>38</v>
      </c>
      <c r="B23" s="1"/>
      <c r="C23" s="1"/>
      <c r="D23" s="16">
        <f>'Cost-Benefit (BASE)'!D23</f>
        <v>1.9565930029867149E-2</v>
      </c>
      <c r="E23" s="16">
        <f>'Cost-Benefit (BASE)'!E23</f>
        <v>1.9565930029867149E-2</v>
      </c>
      <c r="F23" s="16">
        <f>'Cost-Benefit (BASE)'!F23</f>
        <v>47.239070088839853</v>
      </c>
      <c r="G23" s="16">
        <f>'Cost-Benefit (BASE)'!G23</f>
        <v>37.536314923755278</v>
      </c>
      <c r="H23" s="16">
        <f>'Cost-Benefit (BASE)'!H23</f>
        <v>61.795397589740404</v>
      </c>
      <c r="I23" s="16">
        <f>'Cost-Benefit (BASE)'!I23</f>
        <v>97.404100591273604</v>
      </c>
      <c r="J23" s="16">
        <f>'Cost-Benefit (BASE)'!J23</f>
        <v>121.45638633690957</v>
      </c>
      <c r="K23" s="16">
        <f>'Cost-Benefit (BASE)'!K23</f>
        <v>211.62001839967041</v>
      </c>
      <c r="L23" s="16">
        <f>'Cost-Benefit (BASE)'!L23</f>
        <v>247.63414383263287</v>
      </c>
      <c r="M23" s="16">
        <f>'Cost-Benefit (BASE)'!M23</f>
        <v>247.63414383263287</v>
      </c>
      <c r="N23" s="16">
        <f>'Cost-Benefit (BASE)'!N23</f>
        <v>247.63414383263287</v>
      </c>
      <c r="O23" s="16">
        <f>'Cost-Benefit (BASE)'!O23</f>
        <v>247.63414383263287</v>
      </c>
      <c r="P23" s="16">
        <f>'Cost-Benefit (BASE)'!P23</f>
        <v>247.63414383263287</v>
      </c>
      <c r="Q23" s="16">
        <f>'Cost-Benefit (BASE)'!Q23</f>
        <v>247.63414383263287</v>
      </c>
      <c r="R23" s="16">
        <f>'Cost-Benefit (BASE)'!R23</f>
        <v>247.63414383263287</v>
      </c>
    </row>
    <row r="24" spans="1:18" x14ac:dyDescent="0.3">
      <c r="A24" s="1" t="s">
        <v>0</v>
      </c>
      <c r="B24" s="1"/>
      <c r="C24" s="3">
        <f>NPV($B$2,D24:R24)</f>
        <v>48183320.75266403</v>
      </c>
      <c r="D24" s="3">
        <f>D23*$B$1</f>
        <v>771.68028037796034</v>
      </c>
      <c r="E24" s="3">
        <f t="shared" ref="E24:R24" si="9">E23*$B$1</f>
        <v>771.68028037796034</v>
      </c>
      <c r="F24" s="3">
        <f t="shared" si="9"/>
        <v>1863108.9243038439</v>
      </c>
      <c r="G24" s="3">
        <f t="shared" si="9"/>
        <v>1480432.2605929081</v>
      </c>
      <c r="H24" s="3">
        <f t="shared" si="9"/>
        <v>2437210.4809393617</v>
      </c>
      <c r="I24" s="3">
        <f t="shared" si="9"/>
        <v>3841617.727319831</v>
      </c>
      <c r="J24" s="3">
        <f t="shared" si="9"/>
        <v>4790239.8771277135</v>
      </c>
      <c r="K24" s="3">
        <f t="shared" si="9"/>
        <v>8346293.5256830007</v>
      </c>
      <c r="L24" s="3">
        <f t="shared" si="9"/>
        <v>9766690.6327590402</v>
      </c>
      <c r="M24" s="3">
        <f t="shared" si="9"/>
        <v>9766690.6327590402</v>
      </c>
      <c r="N24" s="3">
        <f t="shared" si="9"/>
        <v>9766690.6327590402</v>
      </c>
      <c r="O24" s="3">
        <f t="shared" si="9"/>
        <v>9766690.6327590402</v>
      </c>
      <c r="P24" s="3">
        <f t="shared" si="9"/>
        <v>9766690.6327590402</v>
      </c>
      <c r="Q24" s="3">
        <f t="shared" si="9"/>
        <v>9766690.6327590402</v>
      </c>
      <c r="R24" s="3">
        <f t="shared" si="9"/>
        <v>9766690.6327590402</v>
      </c>
    </row>
    <row r="25" spans="1:18" x14ac:dyDescent="0.3">
      <c r="A25" s="1" t="s">
        <v>9</v>
      </c>
      <c r="B25" s="1"/>
      <c r="C25" s="3">
        <f t="shared" ref="C25:C26" si="10">NPV($B$2,D25:R25)</f>
        <v>-28117002.583344407</v>
      </c>
      <c r="D25" s="4">
        <f>D$6-D24</f>
        <v>0</v>
      </c>
      <c r="E25" s="4">
        <f t="shared" ref="E25:R25" si="11">E$6-E24</f>
        <v>0</v>
      </c>
      <c r="F25" s="4">
        <f t="shared" si="11"/>
        <v>-1848523.2633424515</v>
      </c>
      <c r="G25" s="4">
        <f t="shared" si="11"/>
        <v>-1356593.5192749626</v>
      </c>
      <c r="H25" s="4">
        <f t="shared" si="11"/>
        <v>-2296685.5877282727</v>
      </c>
      <c r="I25" s="4">
        <f t="shared" si="11"/>
        <v>-3464879.7156446641</v>
      </c>
      <c r="J25" s="4">
        <f t="shared" si="11"/>
        <v>-3917542.7265214473</v>
      </c>
      <c r="K25" s="4">
        <f t="shared" si="11"/>
        <v>-6773360.7476640288</v>
      </c>
      <c r="L25" s="4">
        <f t="shared" si="11"/>
        <v>-5660812.4090756942</v>
      </c>
      <c r="M25" s="4">
        <f t="shared" si="11"/>
        <v>-4131737.6477634199</v>
      </c>
      <c r="N25" s="4">
        <f t="shared" si="11"/>
        <v>-4131737.6477634199</v>
      </c>
      <c r="O25" s="4">
        <f t="shared" si="11"/>
        <v>-4131737.6477634199</v>
      </c>
      <c r="P25" s="4">
        <f t="shared" si="11"/>
        <v>-4131737.6477634199</v>
      </c>
      <c r="Q25" s="4">
        <f t="shared" si="11"/>
        <v>-4131737.6477634199</v>
      </c>
      <c r="R25" s="4">
        <f t="shared" si="11"/>
        <v>-4131737.6477634199</v>
      </c>
    </row>
    <row r="26" spans="1:18" x14ac:dyDescent="0.3">
      <c r="A26" s="1" t="s">
        <v>10</v>
      </c>
      <c r="B26" s="1"/>
      <c r="C26" s="3">
        <f t="shared" si="10"/>
        <v>7850646.3157664221</v>
      </c>
      <c r="D26" s="3">
        <f>'Option Costs'!C15*$B$3</f>
        <v>0</v>
      </c>
      <c r="E26" s="3">
        <f>'Option Costs'!D15*$B$3</f>
        <v>7711377.3749999981</v>
      </c>
      <c r="F26" s="3">
        <f>'Option Costs'!E15*$B$3</f>
        <v>118562.42714062495</v>
      </c>
      <c r="G26" s="3">
        <f>'Option Costs'!F15*$B$3</f>
        <v>121526.48781914056</v>
      </c>
      <c r="H26" s="3">
        <f>'Option Costs'!G15*$B$3</f>
        <v>124564.65001461907</v>
      </c>
      <c r="I26" s="3">
        <f>'Option Costs'!H15*$B$3</f>
        <v>127678.76626498454</v>
      </c>
      <c r="J26" s="3">
        <f>'Option Costs'!I15*$B$3</f>
        <v>130870.73542160915</v>
      </c>
      <c r="K26" s="3">
        <f>'Option Costs'!J15*$B$3</f>
        <v>134142.50380714936</v>
      </c>
      <c r="L26" s="3">
        <f>'Option Costs'!K15*$B$3</f>
        <v>137496.06640232808</v>
      </c>
      <c r="M26" s="3">
        <f>'Option Costs'!L15*$B$3</f>
        <v>140933.46806238627</v>
      </c>
      <c r="N26" s="3">
        <f>'Option Costs'!M15*$B$3</f>
        <v>144456.80476394593</v>
      </c>
      <c r="O26" s="3">
        <f>'Option Costs'!N15*$B$3</f>
        <v>148068.22488304455</v>
      </c>
      <c r="P26" s="3">
        <f>'Option Costs'!O15*$B$3</f>
        <v>151769.93050512066</v>
      </c>
      <c r="Q26" s="3">
        <f>'Option Costs'!P15*$B$3</f>
        <v>155564.17876774867</v>
      </c>
      <c r="R26" s="3">
        <f>'Option Costs'!Q15*$B$3</f>
        <v>159453.28323694237</v>
      </c>
    </row>
    <row r="27" spans="1:18" x14ac:dyDescent="0.3">
      <c r="A27" s="1" t="s">
        <v>11</v>
      </c>
      <c r="C27" s="4">
        <f>C25-C26</f>
        <v>-35967648.899110831</v>
      </c>
    </row>
    <row r="28" spans="1:18" s="10" customFormat="1" x14ac:dyDescent="0.3">
      <c r="A28" s="6" t="s">
        <v>6</v>
      </c>
      <c r="B28" s="11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 x14ac:dyDescent="0.3">
      <c r="A29" s="1" t="s">
        <v>38</v>
      </c>
      <c r="B29" s="1"/>
      <c r="C29" s="1"/>
      <c r="D29" s="16">
        <f>'Cost-Benefit (BASE)'!D29</f>
        <v>1.9565930029867149E-2</v>
      </c>
      <c r="E29" s="16">
        <f>'Cost-Benefit (BASE)'!E29</f>
        <v>1.9565930029867149E-2</v>
      </c>
      <c r="F29" s="16">
        <f>'Cost-Benefit (BASE)'!F29</f>
        <v>0</v>
      </c>
      <c r="G29" s="16">
        <f>'Cost-Benefit (BASE)'!G29</f>
        <v>0</v>
      </c>
      <c r="H29" s="16">
        <f>'Cost-Benefit (BASE)'!H29</f>
        <v>0</v>
      </c>
      <c r="I29" s="16">
        <f>'Cost-Benefit (BASE)'!I29</f>
        <v>0</v>
      </c>
      <c r="J29" s="16">
        <f>'Cost-Benefit (BASE)'!J29</f>
        <v>0</v>
      </c>
      <c r="K29" s="16">
        <f>'Cost-Benefit (BASE)'!K29</f>
        <v>0</v>
      </c>
      <c r="L29" s="16">
        <f>'Cost-Benefit (BASE)'!L29</f>
        <v>0</v>
      </c>
      <c r="M29" s="16">
        <f>'Cost-Benefit (BASE)'!M29</f>
        <v>0</v>
      </c>
      <c r="N29" s="16">
        <f>'Cost-Benefit (BASE)'!N29</f>
        <v>0</v>
      </c>
      <c r="O29" s="16">
        <f>'Cost-Benefit (BASE)'!O29</f>
        <v>0</v>
      </c>
      <c r="P29" s="16">
        <f>'Cost-Benefit (BASE)'!P29</f>
        <v>0</v>
      </c>
      <c r="Q29" s="16">
        <f>'Cost-Benefit (BASE)'!Q29</f>
        <v>0</v>
      </c>
      <c r="R29" s="16">
        <f>'Cost-Benefit (BASE)'!R29</f>
        <v>0</v>
      </c>
    </row>
    <row r="30" spans="1:18" x14ac:dyDescent="0.3">
      <c r="A30" s="1" t="s">
        <v>0</v>
      </c>
      <c r="B30" s="1"/>
      <c r="C30" s="3">
        <f>NPV($B$2,D30:R30)</f>
        <v>1407.4910698746469</v>
      </c>
      <c r="D30" s="3">
        <f>D29*$B$1</f>
        <v>771.68028037796034</v>
      </c>
      <c r="E30" s="3">
        <f t="shared" ref="E30:R30" si="12">E29*$B$1</f>
        <v>771.68028037796034</v>
      </c>
      <c r="F30" s="3">
        <f t="shared" si="12"/>
        <v>0</v>
      </c>
      <c r="G30" s="3">
        <f t="shared" si="12"/>
        <v>0</v>
      </c>
      <c r="H30" s="3">
        <f t="shared" si="12"/>
        <v>0</v>
      </c>
      <c r="I30" s="3">
        <f t="shared" si="12"/>
        <v>0</v>
      </c>
      <c r="J30" s="3">
        <f t="shared" si="12"/>
        <v>0</v>
      </c>
      <c r="K30" s="3">
        <f t="shared" si="12"/>
        <v>0</v>
      </c>
      <c r="L30" s="3">
        <f t="shared" si="12"/>
        <v>0</v>
      </c>
      <c r="M30" s="3">
        <f t="shared" si="12"/>
        <v>0</v>
      </c>
      <c r="N30" s="3">
        <f t="shared" si="12"/>
        <v>0</v>
      </c>
      <c r="O30" s="3">
        <f t="shared" si="12"/>
        <v>0</v>
      </c>
      <c r="P30" s="3">
        <f t="shared" si="12"/>
        <v>0</v>
      </c>
      <c r="Q30" s="3">
        <f t="shared" si="12"/>
        <v>0</v>
      </c>
      <c r="R30" s="3">
        <f t="shared" si="12"/>
        <v>0</v>
      </c>
    </row>
    <row r="31" spans="1:18" x14ac:dyDescent="0.3">
      <c r="A31" s="1" t="s">
        <v>9</v>
      </c>
      <c r="B31" s="1"/>
      <c r="C31" s="3">
        <f t="shared" ref="C31:C32" si="13">NPV($B$2,D31:R31)</f>
        <v>20064910.678249739</v>
      </c>
      <c r="D31" s="4">
        <f>D$6-D30</f>
        <v>0</v>
      </c>
      <c r="E31" s="4">
        <f t="shared" ref="E31:R31" si="14">E$6-E30</f>
        <v>0</v>
      </c>
      <c r="F31" s="4">
        <f t="shared" si="14"/>
        <v>14585.660961392347</v>
      </c>
      <c r="G31" s="4">
        <f t="shared" si="14"/>
        <v>123838.74131794563</v>
      </c>
      <c r="H31" s="4">
        <f t="shared" si="14"/>
        <v>140524.89321108896</v>
      </c>
      <c r="I31" s="4">
        <f t="shared" si="14"/>
        <v>376738.01167516713</v>
      </c>
      <c r="J31" s="4">
        <f t="shared" si="14"/>
        <v>872697.15060626646</v>
      </c>
      <c r="K31" s="4">
        <f t="shared" si="14"/>
        <v>1572932.7780189719</v>
      </c>
      <c r="L31" s="4">
        <f t="shared" si="14"/>
        <v>4105878.2236833456</v>
      </c>
      <c r="M31" s="4">
        <f t="shared" si="14"/>
        <v>5634952.9849956203</v>
      </c>
      <c r="N31" s="4">
        <f t="shared" si="14"/>
        <v>5634952.9849956203</v>
      </c>
      <c r="O31" s="4">
        <f t="shared" si="14"/>
        <v>5634952.9849956203</v>
      </c>
      <c r="P31" s="4">
        <f t="shared" si="14"/>
        <v>5634952.9849956203</v>
      </c>
      <c r="Q31" s="4">
        <f t="shared" si="14"/>
        <v>5634952.9849956203</v>
      </c>
      <c r="R31" s="4">
        <f t="shared" si="14"/>
        <v>5634952.9849956203</v>
      </c>
    </row>
    <row r="32" spans="1:18" x14ac:dyDescent="0.3">
      <c r="A32" s="1" t="s">
        <v>10</v>
      </c>
      <c r="B32" s="1"/>
      <c r="C32" s="3">
        <f t="shared" si="13"/>
        <v>14504089.925568469</v>
      </c>
      <c r="D32" s="3">
        <f>'Option Costs'!C19*$B$3</f>
        <v>0</v>
      </c>
      <c r="E32" s="3">
        <f>'Option Costs'!D19*$B$3</f>
        <v>14246790.187499998</v>
      </c>
      <c r="F32" s="3">
        <f>'Option Costs'!E19*$B$3</f>
        <v>219044.39913281245</v>
      </c>
      <c r="G32" s="3">
        <f>'Option Costs'!F19*$B$3</f>
        <v>224520.50911113271</v>
      </c>
      <c r="H32" s="3">
        <f>'Option Costs'!G19*$B$3</f>
        <v>230133.52183891099</v>
      </c>
      <c r="I32" s="3">
        <f>'Option Costs'!H19*$B$3</f>
        <v>235886.85988488374</v>
      </c>
      <c r="J32" s="3">
        <f>'Option Costs'!I19*$B$3</f>
        <v>241784.03138200584</v>
      </c>
      <c r="K32" s="3">
        <f>'Option Costs'!J19*$B$3</f>
        <v>247828.63216655594</v>
      </c>
      <c r="L32" s="3">
        <f>'Option Costs'!K19*$B$3</f>
        <v>254024.34797071983</v>
      </c>
      <c r="M32" s="3">
        <f>'Option Costs'!L19*$B$3</f>
        <v>260374.95666998779</v>
      </c>
      <c r="N32" s="3">
        <f>'Option Costs'!M19*$B$3</f>
        <v>266884.33058673749</v>
      </c>
      <c r="O32" s="3">
        <f>'Option Costs'!N19*$B$3</f>
        <v>273556.43885140587</v>
      </c>
      <c r="P32" s="3">
        <f>'Option Costs'!O19*$B$3</f>
        <v>280395.349822691</v>
      </c>
      <c r="Q32" s="3">
        <f>'Option Costs'!P19*$B$3</f>
        <v>287405.23356825823</v>
      </c>
      <c r="R32" s="3">
        <f>'Option Costs'!Q19*$B$3</f>
        <v>294590.36440746469</v>
      </c>
    </row>
    <row r="33" spans="1:18" x14ac:dyDescent="0.3">
      <c r="A33" s="1" t="s">
        <v>11</v>
      </c>
      <c r="C33" s="4">
        <f>C31-C32</f>
        <v>5560820.7526812702</v>
      </c>
    </row>
    <row r="34" spans="1:18" s="10" customFormat="1" x14ac:dyDescent="0.3">
      <c r="A34" s="6"/>
      <c r="B34" s="11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1:18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x14ac:dyDescent="0.3">
      <c r="A36" s="1"/>
      <c r="B36" s="1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x14ac:dyDescent="0.3">
      <c r="A37" s="1"/>
      <c r="C37" s="3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x14ac:dyDescent="0.3">
      <c r="A38" s="1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x14ac:dyDescent="0.3">
      <c r="A39" s="1"/>
      <c r="C39" s="4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10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14" baseType="lpstr">
      <vt:lpstr>Report summary Table</vt:lpstr>
      <vt:lpstr>Sensitivity Analysis Summary</vt:lpstr>
      <vt:lpstr>Opt 3 - Economic timing</vt:lpstr>
      <vt:lpstr>Option Costs</vt:lpstr>
      <vt:lpstr>Cost-Benefit (BASE)</vt:lpstr>
      <vt:lpstr>Cost-Benefit (VCR+20%)</vt:lpstr>
      <vt:lpstr>Cost-Benefit (VCR-20%)</vt:lpstr>
      <vt:lpstr>Cost-Benefit (Disc rate high)</vt:lpstr>
      <vt:lpstr>Cost-Benefit (cost+30%)</vt:lpstr>
      <vt:lpstr>Cost-Benefit (cost-30%)</vt:lpstr>
      <vt:lpstr>Chart1</vt:lpstr>
      <vt:lpstr>Fifty_POE_WEIGHTING</vt:lpstr>
      <vt:lpstr>Ten_POE_WEIGHTING</vt:lpstr>
      <vt:lpstr>VCR</vt:lpstr>
    </vt:vector>
  </TitlesOfParts>
  <Company>Jemena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Pollock</dc:creator>
  <cp:lastModifiedBy>Erika Twining</cp:lastModifiedBy>
  <dcterms:created xsi:type="dcterms:W3CDTF">2016-08-19T00:20:31Z</dcterms:created>
  <dcterms:modified xsi:type="dcterms:W3CDTF">2017-06-15T06:45:43Z</dcterms:modified>
</cp:coreProperties>
</file>